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Afonso Teles\Desktop\"/>
    </mc:Choice>
  </mc:AlternateContent>
  <bookViews>
    <workbookView xWindow="0" yWindow="0" windowWidth="28800" windowHeight="12435"/>
  </bookViews>
  <sheets>
    <sheet name="Summary" sheetId="1" r:id="rId1"/>
    <sheet name="By_Sector" sheetId="2" r:id="rId2"/>
    <sheet name="Infraestrutures" sheetId="3" r:id="rId3"/>
    <sheet name="LULUCF" sheetId="4" r:id="rId4"/>
    <sheet name="New_Projects" sheetId="5" r:id="rId5"/>
    <sheet name="Total" sheetId="6" r:id="rId6"/>
    <sheet name="ANEX_I" sheetId="7" r:id="rId7"/>
  </sheets>
  <definedNames>
    <definedName name="_xlnm._FilterDatabase" localSheetId="4">New_Projects!$A$7:$L$47</definedName>
    <definedName name="_xlnm.Print_Area" localSheetId="2">Infraestrutures!$A$1:$L$264</definedName>
    <definedName name="_xlnm.Print_Area" localSheetId="4">New_Projects!$A$1:$H$71</definedName>
  </definedNames>
  <calcPr calcId="152511" iterateDelta="1E-4"/>
</workbook>
</file>

<file path=xl/calcChain.xml><?xml version="1.0" encoding="utf-8"?>
<calcChain xmlns="http://schemas.openxmlformats.org/spreadsheetml/2006/main">
  <c r="C16" i="2" l="1"/>
  <c r="C10" i="2"/>
  <c r="D74" i="7"/>
  <c r="D73" i="7"/>
  <c r="C72" i="7"/>
  <c r="C71" i="7"/>
  <c r="D70" i="7"/>
  <c r="D69" i="7"/>
  <c r="C68" i="7"/>
  <c r="C67" i="7"/>
  <c r="C66" i="7"/>
  <c r="C65" i="7"/>
  <c r="D64" i="7"/>
  <c r="D59" i="7"/>
  <c r="C58" i="7"/>
  <c r="C57" i="7"/>
  <c r="D56" i="7"/>
  <c r="D55" i="7"/>
  <c r="C54" i="7"/>
  <c r="C53" i="7"/>
  <c r="C52" i="7"/>
  <c r="C51" i="7"/>
  <c r="C50" i="7"/>
  <c r="C49" i="7"/>
  <c r="C48" i="7"/>
  <c r="D47" i="7"/>
  <c r="C46" i="7"/>
  <c r="C45" i="7"/>
  <c r="C44" i="7"/>
  <c r="C43" i="7"/>
  <c r="C42" i="7"/>
  <c r="C41" i="7"/>
  <c r="D40" i="7"/>
  <c r="D37" i="7"/>
  <c r="D36" i="7"/>
  <c r="D34" i="7"/>
  <c r="D32" i="7"/>
  <c r="D28" i="7"/>
  <c r="D25" i="7"/>
  <c r="D24" i="7"/>
  <c r="C9" i="2" s="1"/>
  <c r="D23" i="7"/>
  <c r="D22" i="7"/>
  <c r="D21" i="7"/>
  <c r="D20" i="7"/>
  <c r="E264" i="3" s="1"/>
  <c r="D19" i="7"/>
  <c r="D18" i="7"/>
  <c r="D17" i="7"/>
  <c r="D16" i="7"/>
  <c r="D15" i="7"/>
  <c r="D14" i="7"/>
  <c r="D13" i="7"/>
  <c r="D12" i="7"/>
  <c r="D11" i="7"/>
  <c r="D29" i="7" s="1"/>
  <c r="D10" i="7"/>
  <c r="D9" i="7"/>
  <c r="E18" i="4"/>
  <c r="E19" i="4" s="1"/>
  <c r="G18" i="2" s="1"/>
  <c r="E17" i="4"/>
  <c r="D17" i="4"/>
  <c r="C16" i="4"/>
  <c r="D16" i="4" s="1"/>
  <c r="B15" i="4"/>
  <c r="D15" i="4" s="1"/>
  <c r="B14" i="4"/>
  <c r="D14" i="4" s="1"/>
  <c r="B13" i="4"/>
  <c r="D13" i="4" s="1"/>
  <c r="D12" i="4"/>
  <c r="B11" i="4"/>
  <c r="D11" i="4" s="1"/>
  <c r="D10" i="4"/>
  <c r="C10" i="4"/>
  <c r="C9" i="4"/>
  <c r="B8" i="4"/>
  <c r="E251" i="3"/>
  <c r="E244" i="3"/>
  <c r="E240" i="3"/>
  <c r="E237" i="3"/>
  <c r="E236" i="3"/>
  <c r="E234" i="3"/>
  <c r="E233" i="3"/>
  <c r="E232" i="3"/>
  <c r="E230" i="3"/>
  <c r="E229" i="3"/>
  <c r="E227" i="3"/>
  <c r="E226" i="3"/>
  <c r="E223" i="3"/>
  <c r="E222" i="3"/>
  <c r="E219" i="3"/>
  <c r="E218" i="3"/>
  <c r="E217" i="3"/>
  <c r="E216" i="3"/>
  <c r="E210" i="3"/>
  <c r="E209" i="3"/>
  <c r="E207" i="3"/>
  <c r="E203" i="3"/>
  <c r="E201" i="3"/>
  <c r="E197" i="3"/>
  <c r="E191" i="3"/>
  <c r="E184" i="3"/>
  <c r="E182" i="3"/>
  <c r="E181" i="3"/>
  <c r="E180" i="3"/>
  <c r="E179" i="3"/>
  <c r="E178" i="3"/>
  <c r="E176" i="3"/>
  <c r="E174" i="3"/>
  <c r="E166" i="3"/>
  <c r="E158" i="3"/>
  <c r="E157" i="3"/>
  <c r="E148" i="3"/>
  <c r="E145" i="3"/>
  <c r="E136" i="3"/>
  <c r="E135" i="3"/>
  <c r="E133" i="3"/>
  <c r="E131" i="3"/>
  <c r="E125" i="3"/>
  <c r="E122" i="3"/>
  <c r="E121" i="3"/>
  <c r="E120" i="3"/>
  <c r="E118" i="3"/>
  <c r="E117" i="3"/>
  <c r="E113" i="3"/>
  <c r="E112" i="3"/>
  <c r="E108" i="3"/>
  <c r="E103" i="3"/>
  <c r="E102" i="3"/>
  <c r="E96" i="3"/>
  <c r="E93" i="3"/>
  <c r="E91" i="3"/>
  <c r="E89" i="3"/>
  <c r="E86" i="3"/>
  <c r="E83" i="3"/>
  <c r="E81" i="3"/>
  <c r="E80" i="3"/>
  <c r="E79" i="3"/>
  <c r="E78" i="3"/>
  <c r="E76" i="3"/>
  <c r="E73" i="3"/>
  <c r="E71" i="3"/>
  <c r="E69" i="3"/>
  <c r="E68" i="3"/>
  <c r="E66" i="3"/>
  <c r="E65" i="3"/>
  <c r="E64" i="3"/>
  <c r="E57" i="3"/>
  <c r="E55" i="3"/>
  <c r="E54" i="3"/>
  <c r="E51" i="3"/>
  <c r="E50" i="3"/>
  <c r="E47" i="3"/>
  <c r="E42" i="3"/>
  <c r="E36" i="3"/>
  <c r="E34" i="3"/>
  <c r="E29" i="3"/>
  <c r="E26" i="3"/>
  <c r="E24" i="3"/>
  <c r="E22" i="3"/>
  <c r="E20" i="3"/>
  <c r="E18" i="3"/>
  <c r="E17" i="3"/>
  <c r="E16" i="3"/>
  <c r="E15" i="3"/>
  <c r="E14" i="3"/>
  <c r="E13" i="3"/>
  <c r="E11" i="3"/>
  <c r="E10" i="3"/>
  <c r="E9" i="3"/>
  <c r="C12" i="2"/>
  <c r="E263" i="3" l="1"/>
  <c r="C18" i="4"/>
  <c r="C19" i="4" s="1"/>
  <c r="C11" i="2"/>
  <c r="C8" i="2"/>
  <c r="C13" i="2"/>
  <c r="D62" i="7"/>
  <c r="E257" i="3"/>
  <c r="B18" i="4"/>
  <c r="C14" i="2"/>
  <c r="D8" i="4"/>
  <c r="D9" i="4"/>
  <c r="C15" i="2" l="1"/>
  <c r="B19" i="4"/>
  <c r="D19" i="4" s="1"/>
  <c r="D18" i="4"/>
  <c r="C17" i="2" l="1"/>
  <c r="D17" i="2" l="1"/>
  <c r="C7" i="6"/>
  <c r="D10" i="2"/>
  <c r="D9" i="2"/>
  <c r="D16" i="2"/>
  <c r="D12" i="2"/>
  <c r="D14" i="2"/>
  <c r="D11" i="2"/>
  <c r="D8" i="2"/>
  <c r="D13" i="2"/>
  <c r="D15" i="2"/>
  <c r="E76" i="7" l="1"/>
  <c r="J249" i="3"/>
  <c r="J241" i="3"/>
  <c r="J225" i="3"/>
  <c r="J193" i="3"/>
  <c r="J185" i="3"/>
  <c r="J177" i="3"/>
  <c r="J169" i="3"/>
  <c r="J161" i="3"/>
  <c r="J153" i="3"/>
  <c r="J137" i="3"/>
  <c r="J129" i="3"/>
  <c r="J105" i="3"/>
  <c r="J97" i="3"/>
  <c r="J49" i="3"/>
  <c r="J41" i="3"/>
  <c r="J33" i="3"/>
  <c r="J25" i="3"/>
  <c r="C9" i="6"/>
  <c r="E31" i="7"/>
  <c r="J254" i="3"/>
  <c r="J238" i="3"/>
  <c r="J198" i="3"/>
  <c r="J150" i="3"/>
  <c r="J126" i="3"/>
  <c r="J110" i="3"/>
  <c r="J86" i="3"/>
  <c r="J62" i="3"/>
  <c r="J38" i="3"/>
  <c r="J14" i="3"/>
  <c r="J245" i="3"/>
  <c r="J221" i="3"/>
  <c r="J205" i="3"/>
  <c r="J181" i="3"/>
  <c r="J157" i="3"/>
  <c r="J69" i="3"/>
  <c r="J45" i="3"/>
  <c r="J21" i="3"/>
  <c r="E9" i="7"/>
  <c r="J244" i="3"/>
  <c r="J220" i="3"/>
  <c r="J196" i="3"/>
  <c r="J172" i="3"/>
  <c r="E75" i="7"/>
  <c r="E33" i="7"/>
  <c r="J256" i="3"/>
  <c r="J248" i="3"/>
  <c r="J224" i="3"/>
  <c r="J208" i="3"/>
  <c r="J200" i="3"/>
  <c r="J192" i="3"/>
  <c r="J168" i="3"/>
  <c r="J160" i="3"/>
  <c r="J152" i="3"/>
  <c r="J144" i="3"/>
  <c r="J128" i="3"/>
  <c r="J104" i="3"/>
  <c r="J88" i="3"/>
  <c r="J72" i="3"/>
  <c r="J56" i="3"/>
  <c r="J48" i="3"/>
  <c r="J40" i="3"/>
  <c r="J32" i="3"/>
  <c r="J246" i="3"/>
  <c r="J214" i="3"/>
  <c r="J190" i="3"/>
  <c r="J166" i="3"/>
  <c r="J142" i="3"/>
  <c r="J94" i="3"/>
  <c r="J70" i="3"/>
  <c r="J46" i="3"/>
  <c r="J30" i="3"/>
  <c r="E40" i="7"/>
  <c r="J229" i="3"/>
  <c r="J173" i="3"/>
  <c r="J149" i="3"/>
  <c r="J125" i="3"/>
  <c r="J109" i="3"/>
  <c r="J85" i="3"/>
  <c r="J53" i="3"/>
  <c r="E38" i="7"/>
  <c r="J228" i="3"/>
  <c r="J204" i="3"/>
  <c r="J180" i="3"/>
  <c r="J255" i="3"/>
  <c r="J247" i="3"/>
  <c r="J239" i="3"/>
  <c r="J231" i="3"/>
  <c r="J215" i="3"/>
  <c r="J199" i="3"/>
  <c r="J183" i="3"/>
  <c r="J175" i="3"/>
  <c r="J167" i="3"/>
  <c r="J159" i="3"/>
  <c r="J151" i="3"/>
  <c r="J143" i="3"/>
  <c r="J127" i="3"/>
  <c r="J119" i="3"/>
  <c r="J111" i="3"/>
  <c r="J95" i="3"/>
  <c r="J87" i="3"/>
  <c r="J63" i="3"/>
  <c r="J39" i="3"/>
  <c r="J31" i="3"/>
  <c r="J23" i="3"/>
  <c r="E47" i="7"/>
  <c r="J206" i="3"/>
  <c r="J182" i="3"/>
  <c r="J158" i="3"/>
  <c r="J134" i="3"/>
  <c r="J54" i="3"/>
  <c r="J22" i="3"/>
  <c r="J253" i="3"/>
  <c r="J237" i="3"/>
  <c r="J213" i="3"/>
  <c r="J189" i="3"/>
  <c r="J165" i="3"/>
  <c r="J141" i="3"/>
  <c r="J101" i="3"/>
  <c r="J77" i="3"/>
  <c r="J61" i="3"/>
  <c r="J37" i="3"/>
  <c r="J13" i="3"/>
  <c r="E17" i="7"/>
  <c r="J252" i="3"/>
  <c r="J236" i="3"/>
  <c r="J212" i="3"/>
  <c r="J188" i="3"/>
  <c r="J164" i="3"/>
  <c r="E16" i="7"/>
  <c r="J235" i="3"/>
  <c r="J203" i="3"/>
  <c r="J171" i="3"/>
  <c r="J147" i="3"/>
  <c r="J124" i="3"/>
  <c r="J106" i="3"/>
  <c r="J83" i="3"/>
  <c r="J60" i="3"/>
  <c r="J42" i="3"/>
  <c r="J19" i="3"/>
  <c r="E61" i="7"/>
  <c r="J227" i="3"/>
  <c r="J195" i="3"/>
  <c r="J163" i="3"/>
  <c r="J140" i="3"/>
  <c r="J122" i="3"/>
  <c r="J99" i="3"/>
  <c r="J58" i="3"/>
  <c r="J35" i="3"/>
  <c r="J12" i="3"/>
  <c r="E60" i="7"/>
  <c r="J226" i="3"/>
  <c r="J194" i="3"/>
  <c r="J139" i="3"/>
  <c r="J98" i="3"/>
  <c r="J52" i="3"/>
  <c r="J219" i="3"/>
  <c r="J187" i="3"/>
  <c r="J115" i="3"/>
  <c r="J51" i="3"/>
  <c r="J218" i="3"/>
  <c r="J186" i="3"/>
  <c r="J114" i="3"/>
  <c r="J50" i="3"/>
  <c r="J27" i="3"/>
  <c r="E15" i="7"/>
  <c r="J234" i="3"/>
  <c r="J202" i="3"/>
  <c r="J170" i="3"/>
  <c r="J146" i="3"/>
  <c r="J123" i="3"/>
  <c r="J100" i="3"/>
  <c r="J82" i="3"/>
  <c r="J59" i="3"/>
  <c r="J18" i="3"/>
  <c r="J162" i="3"/>
  <c r="J116" i="3"/>
  <c r="J75" i="3"/>
  <c r="J34" i="3"/>
  <c r="J251" i="3"/>
  <c r="J156" i="3"/>
  <c r="J92" i="3"/>
  <c r="J28" i="3"/>
  <c r="E36" i="7"/>
  <c r="J155" i="3"/>
  <c r="J68" i="3"/>
  <c r="E25" i="7"/>
  <c r="J243" i="3"/>
  <c r="J211" i="3"/>
  <c r="J179" i="3"/>
  <c r="J154" i="3"/>
  <c r="J131" i="3"/>
  <c r="J108" i="3"/>
  <c r="J90" i="3"/>
  <c r="J67" i="3"/>
  <c r="J44" i="3"/>
  <c r="J26" i="3"/>
  <c r="E24" i="7"/>
  <c r="J242" i="3"/>
  <c r="J210" i="3"/>
  <c r="J178" i="3"/>
  <c r="J148" i="3"/>
  <c r="J130" i="3"/>
  <c r="J107" i="3"/>
  <c r="J84" i="3"/>
  <c r="J66" i="3"/>
  <c r="J43" i="3"/>
  <c r="J20" i="3"/>
  <c r="J11" i="3"/>
  <c r="E37" i="7"/>
  <c r="J138" i="3"/>
  <c r="J74" i="3"/>
  <c r="J10" i="3"/>
  <c r="J250" i="3"/>
  <c r="J132" i="3"/>
  <c r="J91" i="3"/>
  <c r="E69" i="7"/>
  <c r="J71" i="3"/>
  <c r="J47" i="3"/>
  <c r="E64" i="7"/>
  <c r="E55" i="7"/>
  <c r="E20" i="7"/>
  <c r="J135" i="3"/>
  <c r="J93" i="3"/>
  <c r="J96" i="3"/>
  <c r="J136" i="3"/>
  <c r="J145" i="3"/>
  <c r="J36" i="3"/>
  <c r="E32" i="7"/>
  <c r="J121" i="3"/>
  <c r="J209" i="3"/>
  <c r="J29" i="3"/>
  <c r="J117" i="3"/>
  <c r="J24" i="3"/>
  <c r="J89" i="3"/>
  <c r="E14" i="7"/>
  <c r="J201" i="3"/>
  <c r="J222" i="3"/>
  <c r="J76" i="3"/>
  <c r="J55" i="3"/>
  <c r="J207" i="3"/>
  <c r="E10" i="7"/>
  <c r="J176" i="3"/>
  <c r="J240" i="3"/>
  <c r="E65" i="7"/>
  <c r="E18" i="7"/>
  <c r="J230" i="3"/>
  <c r="E56" i="7"/>
  <c r="E70" i="7"/>
  <c r="J216" i="3"/>
  <c r="J80" i="3"/>
  <c r="J81" i="3"/>
  <c r="J184" i="3"/>
  <c r="J16" i="3"/>
  <c r="E66" i="7"/>
  <c r="E71" i="7"/>
  <c r="J197" i="3"/>
  <c r="J118" i="3"/>
  <c r="J120" i="3"/>
  <c r="E29" i="7"/>
  <c r="E12" i="7"/>
  <c r="J102" i="3"/>
  <c r="J103" i="3"/>
  <c r="J57" i="3"/>
  <c r="E74" i="7"/>
  <c r="J15" i="3"/>
  <c r="J73" i="3"/>
  <c r="J174" i="3"/>
  <c r="J233" i="3"/>
  <c r="J133" i="3"/>
  <c r="J223" i="3"/>
  <c r="J232" i="3"/>
  <c r="E11" i="7"/>
  <c r="J9" i="3"/>
  <c r="E19" i="7"/>
  <c r="J217" i="3"/>
  <c r="J191" i="3"/>
  <c r="E73" i="7"/>
  <c r="E34" i="7"/>
  <c r="J64" i="3"/>
  <c r="J65" i="3"/>
  <c r="E67" i="7"/>
  <c r="E59" i="7"/>
  <c r="E13" i="7"/>
  <c r="E68" i="7"/>
  <c r="E28" i="7"/>
  <c r="E21" i="7"/>
  <c r="E23" i="7"/>
  <c r="J112" i="3"/>
  <c r="E72" i="7"/>
  <c r="J78" i="3"/>
  <c r="J79" i="3"/>
  <c r="J113" i="3"/>
  <c r="J17" i="3"/>
  <c r="E62" i="7"/>
  <c r="J257" i="3" l="1"/>
</calcChain>
</file>

<file path=xl/sharedStrings.xml><?xml version="1.0" encoding="utf-8"?>
<sst xmlns="http://schemas.openxmlformats.org/spreadsheetml/2006/main" count="2382" uniqueCount="1266">
  <si>
    <t>GLASGOW AGREEMENT INVENTORY</t>
  </si>
  <si>
    <t>COUNTRY</t>
  </si>
  <si>
    <t>Portugal</t>
  </si>
  <si>
    <t>DATE</t>
  </si>
  <si>
    <t>February 2021</t>
  </si>
  <si>
    <t>Numbers Sheet Name</t>
  </si>
  <si>
    <t>Numbers Table Name</t>
  </si>
  <si>
    <t>Excel Worksheet Name</t>
  </si>
  <si>
    <t>Description</t>
  </si>
  <si>
    <t>Sheet 1</t>
  </si>
  <si>
    <t>Page 1</t>
  </si>
  <si>
    <t>By Sector</t>
  </si>
  <si>
    <t>Emissions of each sector</t>
  </si>
  <si>
    <t>Sheet 2</t>
  </si>
  <si>
    <t>Page 2</t>
  </si>
  <si>
    <t>Infrastructures</t>
  </si>
  <si>
    <t>Emissions of several infrastructures/units</t>
  </si>
  <si>
    <t>Sheet 3</t>
  </si>
  <si>
    <t>Page 3</t>
  </si>
  <si>
    <t>LULUCF</t>
  </si>
  <si>
    <t>Emissions related to land use, land use change and forestry</t>
  </si>
  <si>
    <t>Sheet 4</t>
  </si>
  <si>
    <t>New Projects</t>
  </si>
  <si>
    <t>List of some of the projects planed for Portugal that will increase emissions</t>
  </si>
  <si>
    <t>Sheet 5</t>
  </si>
  <si>
    <t>Table 1</t>
  </si>
  <si>
    <t>Total</t>
  </si>
  <si>
    <t>Total emissions and necessary cut</t>
  </si>
  <si>
    <t>Sheet 6</t>
  </si>
  <si>
    <t>ANEX I</t>
  </si>
  <si>
    <t>Relevant data from National Inventory Report - 2020 Portugal, made by APA</t>
  </si>
  <si>
    <t>NOTES:</t>
  </si>
  <si>
    <t>To convert to CO2eq itt was used IPCC AR4</t>
  </si>
  <si>
    <t>Most of the figures presented refer to the 2018 emissions; however, in some exceptional situations they refer to the years 2017 or 2019</t>
  </si>
  <si>
    <t>Projects that will actively contribute to decarbonization, are not listed</t>
  </si>
  <si>
    <t>PORTUGAL</t>
  </si>
  <si>
    <t>AGGREGATE INFORMATION</t>
  </si>
  <si>
    <t>SECTOR</t>
  </si>
  <si>
    <t>EMISSIONS (Mt CO2eq)</t>
  </si>
  <si>
    <t>% OF TOTAL EMISSIONS</t>
  </si>
  <si>
    <t>Source</t>
  </si>
  <si>
    <t>Other information / notes</t>
  </si>
  <si>
    <t>Energy Industries</t>
  </si>
  <si>
    <t>Anex I - Energy Industries subsection and Energy-Others-Fugitive emissions from fossil fuels</t>
  </si>
  <si>
    <t>Energy for Residential</t>
  </si>
  <si>
    <t>Anex I - Energy subsection Residential</t>
  </si>
  <si>
    <t>Energy for Comercial/Institucional</t>
  </si>
  <si>
    <t>Anex I - Energy subsection Comercial/institucional</t>
  </si>
  <si>
    <t>National transport</t>
  </si>
  <si>
    <t>Anex I - Sum of the following Transport subsections: domestic aviation, militar aviation, railways, road transportation, domestic water-borne navigation</t>
  </si>
  <si>
    <t>International transport</t>
  </si>
  <si>
    <t xml:space="preserve">Aviation values temporarily from APA's 2020 national emissions inventory. Shipping values from the Global Inventory Working Group of the Glasgow Accord.
(method used: distribution of global shipping emissions for the year 2019 across all countries in proportion to GDP)
</t>
  </si>
  <si>
    <t>Manufacturing industries &amp; construction Energy &amp; Industrial processes</t>
  </si>
  <si>
    <t>Anex I - subsection Manufacturing industries &amp; construction from Energy and subsections mineral industry, Chemical Industry and metal industry from Industrial processes and products use</t>
  </si>
  <si>
    <t>Other product manufacture and products use</t>
  </si>
  <si>
    <t>Anex I - subsctions Non-energy products from fuels and solvent use, Other product manufacture and use, Product use as ODS (ozone depleting
substance) substitutes from the section industrial processes and products use</t>
  </si>
  <si>
    <t>Agriculture, Forestry, Livestock and Fishing</t>
  </si>
  <si>
    <t>Anex I - Agriculture section and Energy-Others-Agriculture / Forestry / Fishing</t>
  </si>
  <si>
    <t>Waste</t>
  </si>
  <si>
    <t>Anex I - Waste section</t>
  </si>
  <si>
    <t>Are LULUCF (Land Use and Land Use Change and Forestry) included in the Aggregate Information?</t>
  </si>
  <si>
    <t>Was 2018 an exceptional year in any regard?</t>
  </si>
  <si>
    <t>No</t>
  </si>
  <si>
    <t>DISAGGREGATE INFORMATION</t>
  </si>
  <si>
    <t>POSITION</t>
  </si>
  <si>
    <t>UNIT</t>
  </si>
  <si>
    <t>LOCAL</t>
  </si>
  <si>
    <t>TOTAL EMISSIONS (t CO2eq)</t>
  </si>
  <si>
    <t>EMISSIONS (t GAS)</t>
  </si>
  <si>
    <t>OWNER/OPERATOR</t>
  </si>
  <si>
    <t>COMMENTS</t>
  </si>
  <si>
    <t>% of territorial units</t>
  </si>
  <si>
    <t>Year</t>
  </si>
  <si>
    <t>Source (link)</t>
  </si>
  <si>
    <t>Financing (optional)</t>
  </si>
  <si>
    <t>Central Termoeléctrica Sines</t>
  </si>
  <si>
    <t>Sines</t>
  </si>
  <si>
    <t>Setúbal</t>
  </si>
  <si>
    <t>8 400 000 t CO2 + 135 t N2O</t>
  </si>
  <si>
    <t>EDP - Gestão da Produção de Energia, S.A.</t>
  </si>
  <si>
    <t>Energy industry</t>
  </si>
  <si>
    <t>Tecnologia: Caldeira + Turbina a Vapor; Combústivel: HU + FO</t>
  </si>
  <si>
    <t>https://prtr.eea.europa.eu/#/facilitydetails?FacilityID=5485&amp;ReportingYear=2017</t>
  </si>
  <si>
    <t>Central Termoeléctrica do Pego</t>
  </si>
  <si>
    <t>Pego, Abrantes</t>
  </si>
  <si>
    <t>Santarém</t>
  </si>
  <si>
    <t>3 750 000 t CO2 + 60.2 t N2O</t>
  </si>
  <si>
    <t>Tejo Energia: joint venture entre TrustEnergy (que por sua vez é uma joint-venture (50%/50%) entre a ENGIE e a Marubeni) (56,25) e Endesa Generación (43,75); Pegop; Carbo Pego</t>
  </si>
  <si>
    <t>https://prtr.eea.europa.eu/#/facilitydetails?FacilityID=5530&amp;ReportingYear=2017</t>
  </si>
  <si>
    <t>Refinaria de Sines</t>
  </si>
  <si>
    <t>Petróleos de Portugal - Petrogal S.A. → Empresa do Grupo Galp Energia</t>
  </si>
  <si>
    <t>os valores não contabilizam emissões fugitivas</t>
  </si>
  <si>
    <t>https://ec.europa.eu/clima/sites/clima/files/ets/registry/docs/verified_emissions_2018_en.xlsx</t>
  </si>
  <si>
    <t>Central de Ciclo Combinado da Tapada do Outeiro</t>
  </si>
  <si>
    <t>Medas, Gondomar</t>
  </si>
  <si>
    <t>Porto</t>
  </si>
  <si>
    <t>1 501 817 t CO2</t>
  </si>
  <si>
    <t>Turbogás - Produtora Energética, S.A. → TrustEnergy</t>
  </si>
  <si>
    <t>Tecnologia: Caldeira + Turbina a Vapor; Combústivel: LEN + FO Combustível: GN, GPL; Potência 990 (3x330) Mwe: Tecnologia: Ciclo Combinado</t>
  </si>
  <si>
    <t>Complexo Industrial de Setúbal da Navigator</t>
  </si>
  <si>
    <t>Mitrena</t>
  </si>
  <si>
    <t xml:space="preserve">1 370 000 t CO2 + 41.4 t N2O  </t>
  </si>
  <si>
    <t>Navigator Pulp Setúbal, S.A. → The Navigator Company</t>
  </si>
  <si>
    <t>Paper</t>
  </si>
  <si>
    <t>Fabrico de pasta de papel, papel e cartão; É composto por uma fábrica de pasta e duas de papel, uma das quais, denominada “About the Future” (as emissões desta última unidade poderão estar englobadas neste valor e são apresentadas numa entrada desta lista)</t>
  </si>
  <si>
    <t>https://prtr.eea.europa.eu/#/facilitydetails?FacilityID=5476&amp;ReportingYear=2017</t>
  </si>
  <si>
    <t>Central Termoeléctrica de Lares</t>
  </si>
  <si>
    <t>Vila Verde, Figueira da Foz</t>
  </si>
  <si>
    <t>Coimbra</t>
  </si>
  <si>
    <t>Tecnologia: Ciclo Combinado; Combustível: GN + GO</t>
  </si>
  <si>
    <t>Refinaria de Matosinhos</t>
  </si>
  <si>
    <t>Matosinhos</t>
  </si>
  <si>
    <t>973 217 t CO2 + 204t N2O</t>
  </si>
  <si>
    <t>https://prtr.eea.europa.eu/#/facilitydetails?FacilityID=5452&amp;ReportingYear=2017 ; https://ec.europa.eu/clima/sites/clima/files/ets/registry/docs/compliance_2018_code_en.xlsx</t>
  </si>
  <si>
    <t>Carnes Landeiro, S.A</t>
  </si>
  <si>
    <t>Silveiros, Barcelos</t>
  </si>
  <si>
    <t>Braga</t>
  </si>
  <si>
    <t>957 000 t CO2 + 21.3t N2O</t>
  </si>
  <si>
    <t>animal industry</t>
  </si>
  <si>
    <t>a empresa dispõe de duas linhas de abate: bovinos e suínos; possui também linhas de desmancha e de desossa de suínos e bovinos e de transformação</t>
  </si>
  <si>
    <t>https://prtr.eea.europa.eu/#/facilitydetails?FacilityID=5448&amp;ReportingYear=2017</t>
  </si>
  <si>
    <t>CIMPOR - Centro de Produção de Alhandra</t>
  </si>
  <si>
    <t>Alhandra, Vila Franca de Xira</t>
  </si>
  <si>
    <t>Lisboa</t>
  </si>
  <si>
    <t>CIMPOR Portugal SGPS S.A. → OYAK Cement Group</t>
  </si>
  <si>
    <t>Construction</t>
  </si>
  <si>
    <t>Instalações para a produção de cimento clínquer em fornos rotativos;  Exploração da Pedreira do Bom Jesus (calcário)</t>
  </si>
  <si>
    <t>Complexo Industrial de Cacia – Navigator</t>
  </si>
  <si>
    <t>Cacia</t>
  </si>
  <si>
    <t>Aveiro</t>
  </si>
  <si>
    <t>877 000 t CO2 + 24.4 t N2O</t>
  </si>
  <si>
    <t>Navigator Pulp Cacia, S.A. → The Navigator Company</t>
  </si>
  <si>
    <t>A sua produção atinge um volume anual na ordem das 320 mil toneladas de pasta branqueada de eucalipto, direccionadas para a transformação em papéis especiais como décor, filtros, cigarros e tissues de alta qualidade. Integra também uma central de cogeração a biomassa associada à fábrica de pasta e uma central termoelectrica de biomassa para a produção de energia renovável; Os valores no ETS 2018 são diferentes dos valores no PRTR</t>
  </si>
  <si>
    <t>https://prtr.eea.europa.eu/#/facilitydetails?FacilityID=5388&amp;ReportingYear=2017</t>
  </si>
  <si>
    <t>Central Termoeléctrica do Ribatejo</t>
  </si>
  <si>
    <t>Carregado, Alenquer</t>
  </si>
  <si>
    <t>CIMPOR - Centro de Produção de Souselas</t>
  </si>
  <si>
    <t>Souselas</t>
  </si>
  <si>
    <t>864 000 t CO2 + 10.4t N2O</t>
  </si>
  <si>
    <t>CIMPOR – Indústria de Cimentos, S.A.; CIMPOR Portugal SGPS S.A. → OYAK Cement Group</t>
  </si>
  <si>
    <t>Instalações para a produção de cimento clínquer em fornos rotativos</t>
  </si>
  <si>
    <t>https://prtr.eea.europa.eu/#/facilitydetails?FacilityID=5367&amp;ReportingYear=2017</t>
  </si>
  <si>
    <t>Fábrica Secil - Outão</t>
  </si>
  <si>
    <t>Outão</t>
  </si>
  <si>
    <t>CO2</t>
  </si>
  <si>
    <t>SECIL-Companhia Geral de Cal e Cimento, S.A.</t>
  </si>
  <si>
    <t>https://prtr.eea.europa.eu/#/facilitydetails?FacilityID=5361&amp;ReportingYear=2017 ; https://ec.europa.eu/clima/sites/clima/files/ets/registry/docs/compliance_2018_code_en.xlsx</t>
  </si>
  <si>
    <t>Navigator- Complexo Industrial da Figueira da Foz</t>
  </si>
  <si>
    <t>Figueira da Foz</t>
  </si>
  <si>
    <t>827 000 t CO2 + 17.7 t N2O</t>
  </si>
  <si>
    <t>Navigator Paper Figueira, SA  → The Navigator Company</t>
  </si>
  <si>
    <t>pasta branqueada de eucalipto (BEKP) e 800 mil toneladas de papéis finos de impressão e escrita não revestidos (UWF). Integra ainda uma central de cogeração a biomassa associada à fábrica de pasta para a produção de energia a partir de fontes renováveis, para além de uma cogeração a gás natural de ciclo combinado; Produção de pasta de papel a partir de madeira ou materiais fibrosos semelhantes; Produção de papel e cartão e outros produtos de madeira primários</t>
  </si>
  <si>
    <t>https://prtr.eea.europa.eu/#/facilitydetails?FacilityID=5410&amp;ReportingYear=2017</t>
  </si>
  <si>
    <t>Central de Ciclo Combinado do Pego</t>
  </si>
  <si>
    <t>742 714 t  CO2</t>
  </si>
  <si>
    <t>ElecGas, S.A. → joint-venture entre a Endesa Generación e a TrustEnergy, cada uma com uma quota de 50%.</t>
  </si>
  <si>
    <t>Europac Kraft Viana</t>
  </si>
  <si>
    <t>Deocriste</t>
  </si>
  <si>
    <t>Viana Do Castelo</t>
  </si>
  <si>
    <t>585 000 t CO2 + 10.2t N2O</t>
  </si>
  <si>
    <t>Ds Smith Paper Viana, S.a</t>
  </si>
  <si>
    <t>Instalações industriais para a produção de pasta de papel a partir de madeira ou materiais fibrosos similares</t>
  </si>
  <si>
    <t>https://prtr.eea.europa.eu/#/facilitydetails?FacilityID=5389&amp;ReportingYear=2017</t>
  </si>
  <si>
    <t>Complexo Petroquímico da Repsol</t>
  </si>
  <si>
    <t>Repsol Polímeros, Lda.</t>
  </si>
  <si>
    <t>Chemical industry</t>
  </si>
  <si>
    <t>No complexo existe uma Central Termoeléctrica para produção e distribuição de vapor e electricidade e 5 fábricas (Fabrico de produtos químicos básicos, fertilizantes e compostos nitrogenados, plásticos e borracha sintética em formas primárias) Não é claro se as emissões são referentes apenas à combustão de combustíveis nas instalações ou também a emissões relativas a processos indústriais das fábricas</t>
  </si>
  <si>
    <t>CTRSU - Central de Tratamento de Resíduos Sólidos Urbanos</t>
  </si>
  <si>
    <t>Loures</t>
  </si>
  <si>
    <t>529000 t CO2 + 63.5 t N2O</t>
  </si>
  <si>
    <t>Valorsul - Valorização e Tratamento de Resíduos Sólidos das Regiões de Lisboa e do Oeste, S.A.</t>
  </si>
  <si>
    <t>Instalações para a incineração de resíduos não perigosos</t>
  </si>
  <si>
    <t>https://prtr.eea.europa.eu/#/facilitydetails?FacilityID=5451&amp;ReportingYear=2017</t>
  </si>
  <si>
    <t>Navarra - Extrusão de Alumínio S.A.</t>
  </si>
  <si>
    <t>471 000 t CO2</t>
  </si>
  <si>
    <t>Navarra - Extrusão de Alumínio, S.A.</t>
  </si>
  <si>
    <t>Metals</t>
  </si>
  <si>
    <t>Instalações para tratamento de superfície de metais e materiais plásticos utilizando um processo electrolítico ou químico</t>
  </si>
  <si>
    <t>https://prtr.eea.europa.eu/#/facilitydetails?FacilityID=38507&amp;ReportingYear=2017</t>
  </si>
  <si>
    <t>CELTEJO, Empresa de Celulose do Tejo,S.A.</t>
  </si>
  <si>
    <t>Vila Velha de Ródão</t>
  </si>
  <si>
    <t>Castelo Branco</t>
  </si>
  <si>
    <t>465 000 t CO2</t>
  </si>
  <si>
    <t>CELTEJO - Empresa de Celulose do Tejo, S. A. → Altri Group</t>
  </si>
  <si>
    <t>Os valores no ETS 2018 são diferentes dos valores no PRTR; Instalações industriais para a produção de pasta de papel a partir de madeira ou materiais fibrosos similares</t>
  </si>
  <si>
    <t>https://prtr.eea.europa.eu/#/facilitydetails?FacilityID=5392&amp;ReportingYear=2017 ; https://ec.europa.eu/clima/sites/clima/files/ets/registry/docs/verified_emissions_2018_en.xlsx</t>
  </si>
  <si>
    <t>Campoaves - Unidade de Transformação de Subprodutos</t>
  </si>
  <si>
    <t>390 000 t CO2 + 14.9t N2O</t>
  </si>
  <si>
    <t>CAMPOAVES – Aves do Campo, SA →  Grupo Lusiaves</t>
  </si>
  <si>
    <t>Processamento e conservação de carne e produção de produtos à base de carne ( a unidade apresenta duas linhas de transformação de carne, duas linhas de transformação de penas e uma linha de transformação de sangue)</t>
  </si>
  <si>
    <t>https://prtr.eea.europa.eu/#/facilitydetails?FacilityID=133911&amp;ReportingYear=2017</t>
  </si>
  <si>
    <t>Indústria Mineral - Prod Cales não Hidraulicas</t>
  </si>
  <si>
    <t>Alcanede</t>
  </si>
  <si>
    <t>Lusical - Companhia Lusitana de Cal S.A →  grupo Lhoist</t>
  </si>
  <si>
    <t>Instalações para a produção de cal viva e cal hidratada</t>
  </si>
  <si>
    <t>https://ec.europa.eu/clima/sites/clima/files/ets/registry/docs/compliance_2018_code_en.xlsx</t>
  </si>
  <si>
    <t>Central de Valorização Energética e Confinamento Técnico</t>
  </si>
  <si>
    <t>Maia</t>
  </si>
  <si>
    <t>361 000 t CO2</t>
  </si>
  <si>
    <t>Lipor-Serviço Intermunicipalizados de Gestão Resíduos Grande Porto</t>
  </si>
  <si>
    <t>https://prtr.eea.europa.eu/#/facilitydetails?FacilityID=5473&amp;ReportingYear=2017</t>
  </si>
  <si>
    <t>Fábrica Maceira-Liz</t>
  </si>
  <si>
    <t>Maceira</t>
  </si>
  <si>
    <t>Leiria</t>
  </si>
  <si>
    <t>CMP-Cimentos Maceira e Pataias, S.A. → Secil S.A.</t>
  </si>
  <si>
    <t>About The Future – Unidade do Complexo Industrial de Setúbal da Navigator</t>
  </si>
  <si>
    <t>About The Future-Empresa Produtora de Papel S.A. → The Navigator Company</t>
  </si>
  <si>
    <t>Este valor poderá estar incluído nas emissões totais do Complexo Industrial de Setúbal da Navigator</t>
  </si>
  <si>
    <t>Central Termoeléctrica a Biomassa da Figueira da Foz</t>
  </si>
  <si>
    <t>288 000 t CO2 + 19.1 t N2O</t>
  </si>
  <si>
    <t>Celulose Beira Industrial (Celbi) S.A → Altri Group</t>
  </si>
  <si>
    <t>Tecnologia: Caldeira + Turbina a Vapor; Combustível: DM + GN</t>
  </si>
  <si>
    <t>https://prtr.eea.europa.eu/#/facilitydetails?FacilityID=133882&amp;ReportingYear=2017</t>
  </si>
  <si>
    <t>Europa&amp;c Energia Viana, S.A.</t>
  </si>
  <si>
    <t>Viana do Castelo</t>
  </si>
  <si>
    <t>Este valor poderá estar incluído nas emissões totais do Europac Kraft Viana</t>
  </si>
  <si>
    <t>Aeroporto Internacional Humberto Delgado</t>
  </si>
  <si>
    <t>281554 t CO2, 30 t CH4, 8 t N2O</t>
  </si>
  <si>
    <t>Vinci</t>
  </si>
  <si>
    <t>Transports – aviation</t>
  </si>
  <si>
    <t>https://apambiente.pt/_zdata/Inventario/Setembro2019/SpatialAllocationEmissions2019.xlsx</t>
  </si>
  <si>
    <t>SPCG - Sociedade Portuguesa de Co-Geração Eléctrica, SA</t>
  </si>
  <si>
    <t>284 000 t CO2</t>
  </si>
  <si>
    <t>Tecnologia: Caldeira + Turbina a Vapor; Combustível: DM + GN + GO</t>
  </si>
  <si>
    <t>https://prtr.eea.europa.eu/#/facilitydetails?FacilityID=133926&amp;ReportingYear=2017</t>
  </si>
  <si>
    <t>CIMPOR - Centro de Produção de Loulé</t>
  </si>
  <si>
    <t>Loulé</t>
  </si>
  <si>
    <t>Faro</t>
  </si>
  <si>
    <t>273 000 t CO2</t>
  </si>
  <si>
    <t>https://prtr.eea.europa.eu/#/facilitydetails?FacilityID=5363&amp;ReportingYear=2017</t>
  </si>
  <si>
    <t>Fábrica Cibra – Pataias</t>
  </si>
  <si>
    <t>Pataias, Alcobaça</t>
  </si>
  <si>
    <t>https://prtr.eea.europa.eu/#/facilitydetails?FacilityID=5360&amp;ReportingYear=2017</t>
  </si>
  <si>
    <t>Repsol-Produção de Electricidade e Calor - ACE</t>
  </si>
  <si>
    <t>260 000 t CO2</t>
  </si>
  <si>
    <t>REPSOL - Produção de Electricidade e Calor ACE</t>
  </si>
  <si>
    <t>Valores diferentes dos registos das emissões do Complexo de Petroquímico da Repsol → não é claro se está englobado no valor total do complexo ou se é referente a emissões de outra fonte</t>
  </si>
  <si>
    <t>https://prtr.eea.europa.eu/#/facilitydetails?FacilityID=5357&amp;ReportingYear=2017</t>
  </si>
  <si>
    <t>Central Térmica da Vitória</t>
  </si>
  <si>
    <t>Funchal</t>
  </si>
  <si>
    <t>Ilha da Madeira</t>
  </si>
  <si>
    <t>Empresa de Electricidade da Madeira, S.A</t>
  </si>
  <si>
    <t>Caima - Indústria de Celulose, S.A.</t>
  </si>
  <si>
    <t>Constância</t>
  </si>
  <si>
    <t>231 000 t CO2</t>
  </si>
  <si>
    <t>Caima-Industria de Celulose SA → Altri group</t>
  </si>
  <si>
    <t>https://prtr.eea.europa.eu/#/facilitydetails?FacilityID=5468&amp;ReportingYear=2017</t>
  </si>
  <si>
    <t>Central de Cogeração da Soporgen de Lavos</t>
  </si>
  <si>
    <t>Lavos, Figueira da Foz</t>
  </si>
  <si>
    <t>182 000 t CO2</t>
  </si>
  <si>
    <t>PortucelSoporcel Cogeração de Energia, S.A. --&gt; Soporgen - Sociedade Portuguesa Geração de Electricidade e Calor S.A. em Edifício Fabril da Soporcel - Central Electrica, 3090-458 Costa de Lavos</t>
  </si>
  <si>
    <t>Tecnologia: Co-geração. Ciclo Combinado; Combustível: GN</t>
  </si>
  <si>
    <t>https://prtr.eea.europa.eu/#/facilitydetails?FacilityID=5491&amp;ReportingYear=2017 , https://www.racius.com/portucelsoporcel-cogeracao-de-energia-s-a/</t>
  </si>
  <si>
    <t>Soporcel</t>
  </si>
  <si>
    <t>Soporcel - Sociedade Portuguesa de Papel, SA</t>
  </si>
  <si>
    <t>Produção de papel ou cartão</t>
  </si>
  <si>
    <t>RESPOL, Resinas, S.A.</t>
  </si>
  <si>
    <t>Pinheiros</t>
  </si>
  <si>
    <t>158 000 t CO2</t>
  </si>
  <si>
    <t>Respol, Resinas, S.A.</t>
  </si>
  <si>
    <t>Instalações químicas para a produção à escala industrial de produtos químicos orgânicos básicos: Materiais plásticos de base (polímeros, fibras sintéticas e fibras à base de celulose)</t>
  </si>
  <si>
    <t>https://prtr.eea.europa.eu/#/facilitydetails?FacilityID=38353&amp;ReportingYear=2017</t>
  </si>
  <si>
    <t>Soporcel Pulp</t>
  </si>
  <si>
    <t>Soporcel Pulp - Sociedade Portuguesa de Celulose, S.A.</t>
  </si>
  <si>
    <t>Produção de pasta de papel</t>
  </si>
  <si>
    <t>Aterro Sanitário da Raposa</t>
  </si>
  <si>
    <t>Almeirim</t>
  </si>
  <si>
    <t>5970 t CH4</t>
  </si>
  <si>
    <t>ECOLEZIRIA - Empresa Intermunicipal para Tratamento de Resíduos Sólidos, EIM</t>
  </si>
  <si>
    <t>Tratamento e eliminação de resíduos</t>
  </si>
  <si>
    <t>https://prtr.eea.europa.eu/#/facilitydetails?FacilityID=5571&amp;ReportingYear=2017</t>
  </si>
  <si>
    <t>Central Termoeléctrica do Caldeirão</t>
  </si>
  <si>
    <t>Ribeira Grande, Pico da Pedra</t>
  </si>
  <si>
    <t>Ilha de São Miguel, Açores</t>
  </si>
  <si>
    <t>144 395 t CO2</t>
  </si>
  <si>
    <t>Electricidade dos Açores S.A. - EDA</t>
  </si>
  <si>
    <t>Combustível: FO + GO</t>
  </si>
  <si>
    <t>https://prtr.eea.europa.eu/#/facilitydetails?FacilityID=5368&amp;ReportingYear=2017 ; https://ec.europa.eu/clima/sites/clima/files/ets/registry/docs/verified_emissions_2018_en.xlsx</t>
  </si>
  <si>
    <t>Santos Barosa vidros SA</t>
  </si>
  <si>
    <t>Marinha Grande</t>
  </si>
  <si>
    <t>Santos Barosa - Vidros, S.A. → Vidrala Group</t>
  </si>
  <si>
    <t>Glass</t>
  </si>
  <si>
    <t>Instalações para o fabrico de vidro, incluindo fibra de vidro</t>
  </si>
  <si>
    <t>Central Térmica do Caniçal</t>
  </si>
  <si>
    <t>Caniçal, Machico</t>
  </si>
  <si>
    <t>132 000 t CO2</t>
  </si>
  <si>
    <t>AIE - Atlantic Islands Electricity (Madeira), S.A.</t>
  </si>
  <si>
    <t>Centra de Cogeração: produção de energia eléctrica térmica e produz vapor. Combustível: FO + GO + GN</t>
  </si>
  <si>
    <t>https://prtr.eea.europa.eu/#/facilitydetails?FacilityID=38482&amp;ReportingYear=2017 ; https://ec.europa.eu/clima/sites/clima/files/ets/registry/docs/verified_emissions_2018_en.xlsx</t>
  </si>
  <si>
    <t>Aterro Sanitário do Sotavento – Loulé</t>
  </si>
  <si>
    <t>4850 t CH4</t>
  </si>
  <si>
    <t>ALGAR - Valorização e Tratamento de Resíduos Sólidos, SA</t>
  </si>
  <si>
    <t>https://prtr.eea.europa.eu/#/facilitydetails?FacilityID=38621&amp;ReportingYear=2017</t>
  </si>
  <si>
    <t>Central de Cogeração de Fisigen do Barreiro</t>
  </si>
  <si>
    <t>Lavradio, Barreiro</t>
  </si>
  <si>
    <t>Fisigen - Empresa de Cogeração, S.A. → EDP</t>
  </si>
  <si>
    <t>Central insere-se na zona industrial do Lavradio, estando localizada no interior do perímetro industrial da SGL Composites S.A. (produtora europeia de fibras acrílicas)</t>
  </si>
  <si>
    <t>Indorama Ventures Portugal Utility (antigo Centro de Utilidades Industriais Artelia Ambiente)</t>
  </si>
  <si>
    <t>Indorama Ventures Portugal PTA, Unipessoal Lda.</t>
  </si>
  <si>
    <t>Aeroporto Francisco Sá Carneiro</t>
  </si>
  <si>
    <t>108341 t CO2, 12 t CH4, 3 t N2O</t>
  </si>
  <si>
    <t>Celulose Beira Industrial (Celbi), S.A.</t>
  </si>
  <si>
    <t>1 040 000 t CO2 + 22.2t N2O</t>
  </si>
  <si>
    <t>Celulose Beira Industrial (Celbi), S.A → Altri Group</t>
  </si>
  <si>
    <t>Os valores no ETS 2018 são diferentes dos valores no PRTR;  Instalações industriais para a produção de pasta de papel a partir de madeira ou materiais fibrosos similares</t>
  </si>
  <si>
    <t>Fábrica de Avintes</t>
  </si>
  <si>
    <t>Avintes, Vila Nova de Gaia</t>
  </si>
  <si>
    <t>BA Vidro, S.A.</t>
  </si>
  <si>
    <t>Unidade de Portimão</t>
  </si>
  <si>
    <t>Portimão</t>
  </si>
  <si>
    <t>3880 t CH4</t>
  </si>
  <si>
    <t>https://prtr.eea.europa.eu/#/facilitydetails?FacilityID=38311&amp;ReportingYear=2017</t>
  </si>
  <si>
    <t>Central Térmica do Belo Jardim</t>
  </si>
  <si>
    <t>Praia da Vitória</t>
  </si>
  <si>
    <t>Ilha Terceira, Açores</t>
  </si>
  <si>
    <t>Electricidade dos Açores, S.A.</t>
  </si>
  <si>
    <t>Fábrica da Marinha Grande</t>
  </si>
  <si>
    <t>Avintes, Marinha Grande</t>
  </si>
  <si>
    <t>Saint-Gobain Mondego, SA</t>
  </si>
  <si>
    <t>Saint-Gobain Mondego, SA (marca Veralia Portugal S.A.)</t>
  </si>
  <si>
    <t>Fábrica da Venda Nova</t>
  </si>
  <si>
    <t>Venda Nova, Amadora</t>
  </si>
  <si>
    <t>SN SEIXAL - Siderurgia Nacional,S.A</t>
  </si>
  <si>
    <t>Paio Pires, Seixal</t>
  </si>
  <si>
    <t>SN Seixal Siderurgia Nacional,SA → Megasa group</t>
  </si>
  <si>
    <t>Iron and Steel</t>
  </si>
  <si>
    <t xml:space="preserve"> esta fábrica é especializada no fabrico de fio-máquina de baixo, médio e alto carbono. A flexibilidade da sua unidade industrial permite-lhe oferecer também varão de aço nervurado para armadura de betão, em diferentes apresentações; barra, bobine, spool e carrete.</t>
  </si>
  <si>
    <t>Gallo Vidro</t>
  </si>
  <si>
    <t>GALLOVIDRO, S.A. -&gt; Vidrala</t>
  </si>
  <si>
    <t>Aeroporto Internacional de Faro</t>
  </si>
  <si>
    <t>74802 t CO2, 7 t CH4, 2 t N2O</t>
  </si>
  <si>
    <t>Porto de Lisboa</t>
  </si>
  <si>
    <t>68385 t CO2, 6.3 t CH4, 2 t N2O</t>
  </si>
  <si>
    <t>Público/Estado</t>
  </si>
  <si>
    <t>Transports – water navegation</t>
  </si>
  <si>
    <t>Aterro para resíduos industriais não perigosos da Chamusca</t>
  </si>
  <si>
    <t>Chamusca</t>
  </si>
  <si>
    <t>2710 t CH4</t>
  </si>
  <si>
    <t>RIBTEJO - Tratamento e Valorização de Resíduos Industriais, S.A.</t>
  </si>
  <si>
    <t>https://prtr.eea.europa.eu/#/facilitydetails?FacilityID=5632&amp;ReportingYear=2017</t>
  </si>
  <si>
    <t>Microlime - Fábrica de Fátima</t>
  </si>
  <si>
    <t>Aldeia de Paio Pires, Seixal</t>
  </si>
  <si>
    <t>MICROLIME - Produtos de Cal e Derivados, S.A.</t>
  </si>
  <si>
    <t>produção de cimento clínquer</t>
  </si>
  <si>
    <t>Porto de Leixões</t>
  </si>
  <si>
    <t>62448 t CO2, 6 t CH4, 2 t N2O</t>
  </si>
  <si>
    <t>Ecoparque da Ilha de S. Miguel</t>
  </si>
  <si>
    <t>Ponta Delgada</t>
  </si>
  <si>
    <t>2510 t CH4</t>
  </si>
  <si>
    <t>MUSAMI - Operações Municipais do Ambiente E.I.M., S.A</t>
  </si>
  <si>
    <t>https://prtr.eea.europa.eu/#/facilitydetails?FacilityID=38337&amp;ReportingYear=2017</t>
  </si>
  <si>
    <t>Centro de Produção de Estarreja</t>
  </si>
  <si>
    <t>Estarreja</t>
  </si>
  <si>
    <t>Air Liquide: Sociedade Portuguesa do Ar Líquido "ARLIQUIDO" LDA</t>
  </si>
  <si>
    <t>UPCB - Unidade de Produção de Celorico de Basto - Resinorte (Aterro, Triagem e TM)</t>
  </si>
  <si>
    <t>Celorico de Basto</t>
  </si>
  <si>
    <t>2250 t CH4</t>
  </si>
  <si>
    <t>RESINORTE - Valorização e Tratamento de Resíduos Sólidos, S.A.</t>
  </si>
  <si>
    <t>https://prtr.eea.europa.eu/#/facilitydetails?FacilityID=5521&amp;ReportingYear=2017</t>
  </si>
  <si>
    <t>Renova - Fábrica de Papel do Almonda, S.A. - Fábrica 2</t>
  </si>
  <si>
    <t>Torres Novas</t>
  </si>
  <si>
    <t>Renova - Fábrica de Papel do Almonda, S.A.</t>
  </si>
  <si>
    <t>Instalações industriais para a produção de papel e cartão e outros produtos de madeira primária (tais como aglomerado de partículas, cartão de fibras e contraplacado)</t>
  </si>
  <si>
    <t>UPRA – Aterro Sanitário de Santo Tirso - Resinorte (Aterro)</t>
  </si>
  <si>
    <t>Santo Tirso</t>
  </si>
  <si>
    <t>2130 t   CH4</t>
  </si>
  <si>
    <t>https://prtr.eea.europa.eu/#/facilitydetails?FacilityID=5634&amp;ReportingYear=2017</t>
  </si>
  <si>
    <t>SN MAIA - Siderurgia Nacional, S.A</t>
  </si>
  <si>
    <t>S. Pedro de Fins, Maia</t>
  </si>
  <si>
    <t>SN Maia - Siderurgia Nacional, SA → Megasa Grupo</t>
  </si>
  <si>
    <t>produtora de aço nervurado em varão</t>
  </si>
  <si>
    <t>Dow Portugal, Produtos Químicos, S.U.L</t>
  </si>
  <si>
    <t>DOW Portugal, Produtos Químicos, SUL</t>
  </si>
  <si>
    <t>produz MDI (metil difenil isocianato), matéria prima essencial para a produção de poliuretano</t>
  </si>
  <si>
    <t>Parque de Gestão Ambiental</t>
  </si>
  <si>
    <t>Évora</t>
  </si>
  <si>
    <t>2000 t CH4</t>
  </si>
  <si>
    <t>GESAMB-Gestão Ambiental e de Resíduos, EIM</t>
  </si>
  <si>
    <t>https://prtr.eea.europa.eu/#/facilitydetails?FacilityID=5479&amp;ReportingYear=2017</t>
  </si>
  <si>
    <t>Companhia Térmica Tagol, Lda</t>
  </si>
  <si>
    <t>Almada</t>
  </si>
  <si>
    <t>Esta unidade encontra-se localizada no interior das instalações da Sovena, Oilseeds Portugal, S.A, sendo todo o vapor utilizado por esta;</t>
  </si>
  <si>
    <t>Unidade da Resulima - Viana do Castelo (Aterro e Triagem)</t>
  </si>
  <si>
    <t>1690 t CH4</t>
  </si>
  <si>
    <t>Resulima - Valorização e Tratamento de Resíduos Sólidos, S. A.</t>
  </si>
  <si>
    <t>https://prtr.eea.europa.eu/#/facilitydetails?FacilityID=38561&amp;ReportingYear=2017</t>
  </si>
  <si>
    <t>Parque Ambiental do Nordeste Transmontano (PANT)</t>
  </si>
  <si>
    <t>Vila Flor</t>
  </si>
  <si>
    <t>Bragança</t>
  </si>
  <si>
    <t>1640 t CH4</t>
  </si>
  <si>
    <t>Residuos do Nordeste, EIM</t>
  </si>
  <si>
    <t>https://prtr.eea.europa.eu/#/facilitydetails?FacilityID=5593&amp;ReportingYear=2017</t>
  </si>
  <si>
    <t>UPCB - Aterro Sanitário de Vila Real - Resinorte (Aterro)</t>
  </si>
  <si>
    <t>Vila Real</t>
  </si>
  <si>
    <t>https://prtr.eea.europa.eu/#/facilitydetails?FacilityID=82261&amp;ReportingYear=2017</t>
  </si>
  <si>
    <t>Aeroporto João Paulo II (Ponta Delgada)</t>
  </si>
  <si>
    <t>38733 t CO2, 3 t CH4, 1 t N2O</t>
  </si>
  <si>
    <t>Crisal - Cristalaria Automática, S.A.</t>
  </si>
  <si>
    <t>Crisal - Cristalaria Automática, S.A. → Libbey Inc.</t>
  </si>
  <si>
    <t>Unidade do Seixal - AMARSUL</t>
  </si>
  <si>
    <t>Seixal</t>
  </si>
  <si>
    <t>1510 t CH4</t>
  </si>
  <si>
    <t>AMARSUL - Valorização e Tratamento de Resíduos Sólidos, S.A.</t>
  </si>
  <si>
    <t>https://prtr.eea.europa.eu/#/facilitydetails?FacilityID=5564&amp;ReportingYear=2017</t>
  </si>
  <si>
    <t>Prado-Cartolinas da Lousã, S.A</t>
  </si>
  <si>
    <t>Lousã</t>
  </si>
  <si>
    <t>Cogeração Enerlousado – Continental Mabor</t>
  </si>
  <si>
    <t>Vila Nova de Famalicão</t>
  </si>
  <si>
    <t>Enerlousado, Recursos Energéticos Unipessoal, Lda</t>
  </si>
  <si>
    <t>central de  cogeração  destinada  à  produção de  energia  elétrica  e  de  energia  térmica  sob  a  forma  de  vapor. O vapor produzido na unidade é utilizado, na sua totalidade, no processo produtivo da Continental Mabor</t>
  </si>
  <si>
    <t>Unidade da Resialentejo (Aterro e Triagem)</t>
  </si>
  <si>
    <t>Beja</t>
  </si>
  <si>
    <t>1470 t CH4</t>
  </si>
  <si>
    <t>RESIALENTEJO - Tratamento e Valorização de Resíduos, E.I.M.</t>
  </si>
  <si>
    <t>https://prtr.eea.europa.eu/#/facilitydetails?FacilityID=5649&amp;ReportingYear=2017</t>
  </si>
  <si>
    <t>RAR-Cogeração Unipessoal Lda</t>
  </si>
  <si>
    <t>Saint-Gobain Weber Portugal Unidade Avelar</t>
  </si>
  <si>
    <t>Avelar</t>
  </si>
  <si>
    <t>Saint-Gobain Weber Portugal, SA</t>
  </si>
  <si>
    <t>Ceramics</t>
  </si>
  <si>
    <t>Aeroporto Internacional da Madeira</t>
  </si>
  <si>
    <t>Santa Cruz</t>
  </si>
  <si>
    <t>34731 t CO2, 3 t CH4, 0.7 t N2O</t>
  </si>
  <si>
    <t>Indorama Ventures PTA (antiga Artlant PTA - Purified Terephtalic Acid)</t>
  </si>
  <si>
    <t>Porto de Ponta Delgada</t>
  </si>
  <si>
    <t>32752 t CO2, 3 t CH4, 0.9 t N2O</t>
  </si>
  <si>
    <t>SCC-Sociedade Central de Cervejas e Bebidas, S.A.</t>
  </si>
  <si>
    <t>Vialonga</t>
  </si>
  <si>
    <t>Food Industry</t>
  </si>
  <si>
    <t>fabricação de refrigerantes e cerveja</t>
  </si>
  <si>
    <t>Aterro para resíduos industriais não perigosos de Alenquer</t>
  </si>
  <si>
    <t>Alenquer</t>
  </si>
  <si>
    <t>1270 t CH4</t>
  </si>
  <si>
    <t>CME Águas, SA</t>
  </si>
  <si>
    <t>https://prtr.eea.europa.eu/#/facilitydetails?FacilityID=177448&amp;ReportingYear=2017</t>
  </si>
  <si>
    <t>Complexo Químico de Estarreja</t>
  </si>
  <si>
    <t>Beduído</t>
  </si>
  <si>
    <t>Bondalti Chemicals, SA</t>
  </si>
  <si>
    <t>Bamiso S.A</t>
  </si>
  <si>
    <t>Bamiso - Produção E Serviços Energéticos, S.a.</t>
  </si>
  <si>
    <t>Localiza-se no mesmo local que a Companhia Industrial de Resinas Sintéticas, CIRES, Lda</t>
  </si>
  <si>
    <t>Porto de Sines</t>
  </si>
  <si>
    <t>31200 t CO2, 3 t CH4, 0.8 t N2O</t>
  </si>
  <si>
    <t>APS - Administração dos Portos de Sines e do Algarve, S.A.</t>
  </si>
  <si>
    <t>Central de Cogeração do Parque das Nações</t>
  </si>
  <si>
    <t>Moscavide</t>
  </si>
  <si>
    <t>Climaespaço-Soc. Prod Distr.Urbana Energia Térmica, S.A. → Grupo Engie</t>
  </si>
  <si>
    <t>Unigeração Lda.</t>
  </si>
  <si>
    <t>Pombal</t>
  </si>
  <si>
    <t>Localiza-se no interior do  Parque Industrial de Manuel da Mota</t>
  </si>
  <si>
    <t>Adelino Duarte da Mota, S.A</t>
  </si>
  <si>
    <t>Meirinhas, Pombal</t>
  </si>
  <si>
    <t>Adelino Duarte da Mota, S.A → Grupo MCS</t>
  </si>
  <si>
    <t>Construção e Energia - Combustão de combustíveis nas instalações</t>
  </si>
  <si>
    <t xml:space="preserve">
Prospecção, pesquisa, exploração e comercialização de depósitos minerais e massas minerais.Produção de electricidade por co-geração.
</t>
  </si>
  <si>
    <t>Gres Panaria - Unidade industrial/ Divisão Love Tiles</t>
  </si>
  <si>
    <t>Ílhavo</t>
  </si>
  <si>
    <t>Gres Panaria Portugal S.A.</t>
  </si>
  <si>
    <t>Central Térmica de Santa Bárbara</t>
  </si>
  <si>
    <t>Horta</t>
  </si>
  <si>
    <t>Ilha de Santa Bárbara, Açores</t>
  </si>
  <si>
    <t>Central de Tratamento e Valorização de Resíduos da Ilha Terceira</t>
  </si>
  <si>
    <t>Angra do Herísmo</t>
  </si>
  <si>
    <t>1190 t CH4</t>
  </si>
  <si>
    <t>TERAMB - Empresa Municipal de Gestão e Valorização Ambiental da Ilha Terceira, EM</t>
  </si>
  <si>
    <t>https://prtr.eea.europa.eu/#/facilitydetails?FacilityID=5668&amp;ReportingYear=2017</t>
  </si>
  <si>
    <t>Centro Integrado de Tratamento de Resíduos Industriais Não Perigosos de Setúbal</t>
  </si>
  <si>
    <t>1170 t CH4</t>
  </si>
  <si>
    <t>CITRI-Centro Integrado de Tratamento de Resíduos Industriais, SA</t>
  </si>
  <si>
    <t>https://prtr.eea.europa.eu/#/facilitydetails?FacilityID=5587&amp;ReportingYear=2017</t>
  </si>
  <si>
    <t>Microlime - Fábrica do Seixal</t>
  </si>
  <si>
    <t>Central Termoeléctrica do Pico</t>
  </si>
  <si>
    <t>S. Roque do Pico</t>
  </si>
  <si>
    <t>Ilha do Pico, Açores</t>
  </si>
  <si>
    <t>Recer - Indústria de Revestimentos Cerâmicos, S.A.</t>
  </si>
  <si>
    <t>Oliveira do Bairro</t>
  </si>
  <si>
    <t>Argex - Argila Expandida, S.A.</t>
  </si>
  <si>
    <t>Bustos</t>
  </si>
  <si>
    <t>Unidade de Palmela - AMARSUL</t>
  </si>
  <si>
    <t>Palmela</t>
  </si>
  <si>
    <t>1050 t CH4</t>
  </si>
  <si>
    <t>https://prtr.eea.europa.eu/#/facilitydetails?FacilityID=5563&amp;ReportingYear=2017</t>
  </si>
  <si>
    <t>Central Térmica do Porto Santo</t>
  </si>
  <si>
    <t>Porto Santo</t>
  </si>
  <si>
    <t>Ilha do Porto Santo, Madeira</t>
  </si>
  <si>
    <t>Calcidrata</t>
  </si>
  <si>
    <t>UFAA - Unidade Fabril de Adubos de Alverca</t>
  </si>
  <si>
    <t>Alverca do Ribatejo</t>
  </si>
  <si>
    <t>Vila Franca de Xira</t>
  </si>
  <si>
    <t>ADP-Fertilizantes, S.A.</t>
  </si>
  <si>
    <t>Fabrico de produtos químicos básicos, fertilizantes e compostos nitrogenados, plásticos e borracha sintética em formas primárias</t>
  </si>
  <si>
    <t>Aterro Sanitário de Mato da Cruz</t>
  </si>
  <si>
    <t>963 t CH4</t>
  </si>
  <si>
    <t>https://prtr.eea.europa.eu/#/facilitydetails?FacilityID=5492&amp;ReportingYear=2017</t>
  </si>
  <si>
    <t>Preceram - unidades industriais de produção de tijolo cerâmico</t>
  </si>
  <si>
    <t>14169 + 9329</t>
  </si>
  <si>
    <t>Preceram - Indústrias de Construção, SA</t>
  </si>
  <si>
    <t>Têm 2 entradas na ETS, com valores diferentes mas ambas localizadas em Pombal. Contudo a empresa tem 2 fábricas, uma em pombal e outra em Águeda</t>
  </si>
  <si>
    <t>UFAL - Unidade Fabril do Lavradio</t>
  </si>
  <si>
    <t>Barreiro</t>
  </si>
  <si>
    <t>ADP - Fertilizantes, S.A.</t>
  </si>
  <si>
    <t>Sidul Açucares, Unipessoal, Lda</t>
  </si>
  <si>
    <t>Santa Iria de Azóia</t>
  </si>
  <si>
    <t>Combustão de combustíveis nas instalações</t>
  </si>
  <si>
    <t>Fábrica de Benavente - IDAL</t>
  </si>
  <si>
    <t>Benavente</t>
  </si>
  <si>
    <t>SUGAL - Alimentos, S.A. Indústrias de Alimentação IDAL, Lda</t>
  </si>
  <si>
    <t>Centro de Tratamento de Resíduos do Oeste - CTRO</t>
  </si>
  <si>
    <t>Cadaval e Alenquer</t>
  </si>
  <si>
    <t>897 t CH4</t>
  </si>
  <si>
    <t>https://prtr.eea.europa.eu/#/facilitydetails?FacilityID=5510&amp;ReportingYear=2017</t>
  </si>
  <si>
    <t>UPLA - Unidade de Produção de Lamego - Resinorte (Aterro e Triagem)</t>
  </si>
  <si>
    <t>Lamego</t>
  </si>
  <si>
    <t>Viseu</t>
  </si>
  <si>
    <t>895 t CH4</t>
  </si>
  <si>
    <t>https://prtr.eea.europa.eu/#/facilitydetails?FacilityID=38465&amp;ReportingYear=2017</t>
  </si>
  <si>
    <t>Navigator - polo Vila velha de Ródão</t>
  </si>
  <si>
    <t>Navigator Tissue Ródão, S.A.</t>
  </si>
  <si>
    <t>Unidade Avis - Valnor (Aterro, TMB, Triagem e CDR)</t>
  </si>
  <si>
    <t>Alcórrego</t>
  </si>
  <si>
    <t>Portalegre</t>
  </si>
  <si>
    <t>822 t CH4</t>
  </si>
  <si>
    <t>VALNOR, Valorização e Tratamento de Resíduos Sólidos, S.A.</t>
  </si>
  <si>
    <t>https://prtr.eea.europa.eu/#/facilitydetails?FacilityID=5458&amp;ReportingYear=2017</t>
  </si>
  <si>
    <t>Unidade da Valorminho (Aterro e Triagem)</t>
  </si>
  <si>
    <t>Valença</t>
  </si>
  <si>
    <t>817 t CH4</t>
  </si>
  <si>
    <t>valorminho-valorização e tratamento de resíduos sólidos S.A</t>
  </si>
  <si>
    <t>https://prtr.eea.europa.eu/#/facilitydetails?FacilityID=5565&amp;ReportingYear=2017</t>
  </si>
  <si>
    <t>Aeroporto Internacional das Lajes (Praia da Vitória)</t>
  </si>
  <si>
    <t>Lajes, Praia da Vitória</t>
  </si>
  <si>
    <t>20070 t CO2, 1.5 t CH4, 0.4 t N2O</t>
  </si>
  <si>
    <t>Lusosider - Aços Planos, S.A.</t>
  </si>
  <si>
    <t>Combustão de combustíveis nas instalações; na instalação produz-se chapa galvanizada, chapa decapada e oleada</t>
  </si>
  <si>
    <t>Roca SA</t>
  </si>
  <si>
    <t>Colmeias</t>
  </si>
  <si>
    <t>ROCA, S.A.</t>
  </si>
  <si>
    <t>Aterro Sanitário - Monte de São Martinho</t>
  </si>
  <si>
    <t>788t CH4</t>
  </si>
  <si>
    <t>https://prtr.eea.europa.eu/#/facilitydetails?FacilityID=5616&amp;ReportingYear=2017</t>
  </si>
  <si>
    <t>Gres Panaria - Unidade industrial/ Divisão "Margres"</t>
  </si>
  <si>
    <t>Iberol-Sociedade Ibérica de Biocombustíveis e Olea</t>
  </si>
  <si>
    <t>Iberol - Sociedade Ibérica de Biocombustíveis e Olea</t>
  </si>
  <si>
    <t>Extração de óleo a partir de semente de soja e produção da respetiva farinha; Combustão de combustíveis nas instalações</t>
  </si>
  <si>
    <t>CS - Coelho da Silva, S. A.</t>
  </si>
  <si>
    <t>Albergaria, Juncal</t>
  </si>
  <si>
    <t>Volkswagen Autoeuropa, Lda</t>
  </si>
  <si>
    <t>Quinta do Anjo, Palmela</t>
  </si>
  <si>
    <t>Volkswagen Autoeuropa,Lda</t>
  </si>
  <si>
    <t>Transports</t>
  </si>
  <si>
    <t>Sovena Oilseeds Portugal, S.A.</t>
  </si>
  <si>
    <t>Porto de Setúbal</t>
  </si>
  <si>
    <t>17569 t CO2, 2 t CH4, 0.5 t N2O</t>
  </si>
  <si>
    <t>Termolan, S.A. - Unidade 2</t>
  </si>
  <si>
    <t>Vila das Aves, Santo Tirso</t>
  </si>
  <si>
    <t>Termolan - Isolamentos Termo-Acústicos, S.A.</t>
  </si>
  <si>
    <t>Combustão de combustíveis nas instalações; fabricação de lã de rocha para isolamento térmico, acústico e de proteção ao fogo.</t>
  </si>
  <si>
    <t>Centro Integrado de Tratamento e Eliminação de Resíduos da Planalto Beirão (Aterro, Triagem e TMB)</t>
  </si>
  <si>
    <t>Tondela</t>
  </si>
  <si>
    <t>345 + 337 t CH4</t>
  </si>
  <si>
    <t>Associação de Municipios da Região do Planalto Beirão</t>
  </si>
  <si>
    <t>valor acidental de 337t em 2017 mas valores de anos anteriores muito mais altos por norma; Tratamento e eliminação de resíduos</t>
  </si>
  <si>
    <t>https://prtr.eea.europa.eu/#/facilitydetails?FacilityID=38440&amp;ReportingYear=2017</t>
  </si>
  <si>
    <t>Gyptec Ibérica - Gessos Técnicos, S.A.</t>
  </si>
  <si>
    <t>Gyptec Ibérica - Gessos Técnicos, S.A. -&gt; Grupo Preceram</t>
  </si>
  <si>
    <t>Fabricação de produtos de gesso para a construção</t>
  </si>
  <si>
    <t>Porto do Caniçal</t>
  </si>
  <si>
    <t>16316 t CO2, 1 t CH4, 0.4 t N2O</t>
  </si>
  <si>
    <t>Aterro de Resíduos Não Perigosos de Beja</t>
  </si>
  <si>
    <t>660 t CH4</t>
  </si>
  <si>
    <t xml:space="preserve"> Lena Ambiente - Gestão de Resíduos, SA</t>
  </si>
  <si>
    <t>https://prtr.eea.europa.eu/#/facilitydetails?FacilityID=38312&amp;ReportingYear=2017</t>
  </si>
  <si>
    <t>Sanitana - Fabrica de Sanitarios de Anadia</t>
  </si>
  <si>
    <t>Anadia</t>
  </si>
  <si>
    <t>Sanitana - Fabrica de Sanitarios de Anadia, SA</t>
  </si>
  <si>
    <t>Unicer- Central Prod Comb Calor Elect,Leça do Balio</t>
  </si>
  <si>
    <t>S. Mamede Infesta. Matosinhos</t>
  </si>
  <si>
    <t>Unicer, Energia e Ambiente, S.A.</t>
  </si>
  <si>
    <t>GRESART - Cerâmica Industrial, SA</t>
  </si>
  <si>
    <t>GRESART - Cerâmica Industrial, S.A.</t>
  </si>
  <si>
    <t>Luso Finsa - Indústria e Comercio de Madeiras S.A</t>
  </si>
  <si>
    <t>Nelas</t>
  </si>
  <si>
    <t>Luso Finsa - Indústria e Comercio de Madeiras S.A.</t>
  </si>
  <si>
    <t>Wood</t>
  </si>
  <si>
    <t>CINCA - Unidade de Produção de Fiães</t>
  </si>
  <si>
    <t>Fiães, Santa Maria da Feira</t>
  </si>
  <si>
    <t>CINCA - Companhia Industrial de Cerâmica, S.A.</t>
  </si>
  <si>
    <t>Copam, S.A.</t>
  </si>
  <si>
    <t>São João da Talha, Loures</t>
  </si>
  <si>
    <t>Copam - Companhia Portuguesa de Amidos, S.A.</t>
  </si>
  <si>
    <t>Unidade Industrial do Outeiro</t>
  </si>
  <si>
    <t>Outeiro da Cabeça, Torres Vedras</t>
  </si>
  <si>
    <t>CT - Cobert Telhas, S.A.</t>
  </si>
  <si>
    <t>Pronicol - Instalação Industrial Quinta de S. Luís</t>
  </si>
  <si>
    <t>Angra do Heroísmo</t>
  </si>
  <si>
    <t>Pronicol, Produtos Lácteos, S. A.</t>
  </si>
  <si>
    <t xml:space="preserve"> UPRA – Aterro Sanitário de Guimarães - Resinorte (Aterro)</t>
  </si>
  <si>
    <t>Guimarães</t>
  </si>
  <si>
    <t>604 t CH4</t>
  </si>
  <si>
    <t>https://prtr.eea.europa.eu/#/facilitydetails?FacilityID=38536&amp;ReportingYear=2017</t>
  </si>
  <si>
    <t>Revigrés (Porcelanato)</t>
  </si>
  <si>
    <t>Águeda</t>
  </si>
  <si>
    <t>Revigrés - Indústria de revestimentos de Grés, Lda</t>
  </si>
  <si>
    <t>Termolan, S.A. - Unidade 1</t>
  </si>
  <si>
    <t>Porto do Funchal</t>
  </si>
  <si>
    <t>14340 t CO2, 1 t CH4, 0.4 t N2O</t>
  </si>
  <si>
    <t>Italagro-Ind.Transf. de Produtos Alimentares, SA</t>
  </si>
  <si>
    <t>Castanheira do Ribatejo</t>
  </si>
  <si>
    <t>Italagro-Ind.Transf.Prod.Alimentares, SA</t>
  </si>
  <si>
    <t>Preceram - Norte, Cerâmicas, SA</t>
  </si>
  <si>
    <t>Aguada de Baixo, Águeda</t>
  </si>
  <si>
    <t>Aleluia Cerâmicas SA - Unidade Fabril de Ílhavo</t>
  </si>
  <si>
    <t>Aleluia Cerâmicas SA</t>
  </si>
  <si>
    <t>UMBELINO MONTEIRO,SA</t>
  </si>
  <si>
    <t>Dominó - Industrias Cerâmicas S.A.</t>
  </si>
  <si>
    <t>Sebal, Condeixa-a-Nova</t>
  </si>
  <si>
    <t>Dominó, Industrias Cerâmicas S.A</t>
  </si>
  <si>
    <t>Unidade fabril Grespor</t>
  </si>
  <si>
    <t>Almas Domingas, Anadia</t>
  </si>
  <si>
    <t>Pavigrés Cerâmicas, S.A.</t>
  </si>
  <si>
    <t>SECIL Martingança, S.A.</t>
  </si>
  <si>
    <t>Unidade Fabril Cerev</t>
  </si>
  <si>
    <t>Almas Domingas, Mealhada</t>
  </si>
  <si>
    <t>Cerâmica Torreense - 5 units</t>
  </si>
  <si>
    <t>Cerâmica Torreense</t>
  </si>
  <si>
    <t>18 (U1) + 10147 (U3) + 1959 (U4 e U5)</t>
  </si>
  <si>
    <t>Unidade de Sermonde - Aterro Sanitário de Vila Nova de Gaia e Santa Maria da Feira</t>
  </si>
  <si>
    <t>Vila Nova de Gaia</t>
  </si>
  <si>
    <t>475 t CH4</t>
  </si>
  <si>
    <t>Suldouro - Valorização e Tratamento de Resíduos Sólidos Urbanos, S.A.</t>
  </si>
  <si>
    <t>https://prtr.eea.europa.eu/#/facilitydetails?FacilityID=5612&amp;ReportingYear=2017</t>
  </si>
  <si>
    <t>Lactogal-Unidade Fabril de Vila do Conde</t>
  </si>
  <si>
    <t>Vila do Conde</t>
  </si>
  <si>
    <t>Lactogal - Produtos Alimentares, S.A.</t>
  </si>
  <si>
    <t>Fábrica de Azambuja</t>
  </si>
  <si>
    <t>Azambuja</t>
  </si>
  <si>
    <t>SUGAL - Alimentos, S.A.</t>
  </si>
  <si>
    <t>Combustão de combustíveis nas instalações; os valores de 2018 são substancialmente inferiores aos de 2019, 2017 ou 2016</t>
  </si>
  <si>
    <t>Cemopol Celuloses Moldadas Portuguesas, Lda</t>
  </si>
  <si>
    <t>localizado no parque Industrial Manuel da Mota</t>
  </si>
  <si>
    <t>Riopele Unidade</t>
  </si>
  <si>
    <t>Pousada de Saramagos</t>
  </si>
  <si>
    <t>Riopele-Têxteis, S.A.</t>
  </si>
  <si>
    <t>Textil</t>
  </si>
  <si>
    <t>MGC - Acabamentos Têxteis, S.A.</t>
  </si>
  <si>
    <t>Ronfe</t>
  </si>
  <si>
    <t>MGC - Acabamentos Têxteis, S.A. -&gt; TMG Group</t>
  </si>
  <si>
    <t>PAPER PRIME</t>
  </si>
  <si>
    <t>Vila Velha de Rodão</t>
  </si>
  <si>
    <t>PAPER PRIME, S.A.</t>
  </si>
  <si>
    <t>Cerâmica das Quintãs, Lda.</t>
  </si>
  <si>
    <t>Oliveirinha</t>
  </si>
  <si>
    <t>Sistema de Resíduos Sólidos da AMCAL</t>
  </si>
  <si>
    <t>Cuba</t>
  </si>
  <si>
    <t>450 t CH4</t>
  </si>
  <si>
    <t>AMCAL-ASSOCIAÇÃO DE MUNICÍPIOS DO ALENTEJO CENTRAL</t>
  </si>
  <si>
    <t>https://prtr.eea.europa.eu/#/facilitydetails?FacilityID=5581&amp;ReportingYear=2017</t>
  </si>
  <si>
    <t>Soladrilho, SA</t>
  </si>
  <si>
    <t>Entroncamento</t>
  </si>
  <si>
    <t>Solcer - Empresa CerÂmica, S.A.</t>
  </si>
  <si>
    <t>Solcer - Empresa Cerâmica, S.A.</t>
  </si>
  <si>
    <t>Vale de Tábuas - Tinturaria e Acabamentos de Tecidos</t>
  </si>
  <si>
    <t>Tinturaria e Acabamentos de Tecidos Vale de Tábuas Lda</t>
  </si>
  <si>
    <t>Fortissue - Produção de Papel</t>
  </si>
  <si>
    <t>Alvarães</t>
  </si>
  <si>
    <t>FORTISSUE - Produção de Papel, S.A.</t>
  </si>
  <si>
    <t>Papeleira Coreboard, S.A.</t>
  </si>
  <si>
    <t>S.Paio Oleiros, Santa Maria da Feira</t>
  </si>
  <si>
    <t>Papeleira Portuguesa, S.A.</t>
  </si>
  <si>
    <t>Sanindusa - Indústria de Sanitários, S.A. (C1/C2)</t>
  </si>
  <si>
    <t>Mamodeiro</t>
  </si>
  <si>
    <t>Sanindusa - Indústria de Sanitários, S.A.</t>
  </si>
  <si>
    <t>Herdade da Pernada - F.I.T.</t>
  </si>
  <si>
    <t>F.I.T. - Fomento da Indústria do Tomate, S.A.</t>
  </si>
  <si>
    <t>Aeroporto da Horta</t>
  </si>
  <si>
    <t>Ilha do Faial, Açores</t>
  </si>
  <si>
    <t>9336 t CO2,0.7 t CH4, 0.2 t N2O</t>
  </si>
  <si>
    <t>Campil - Agro Industrial do Campo do Tejo, Lda.</t>
  </si>
  <si>
    <t>Vale da Pedra, Cartaxo</t>
  </si>
  <si>
    <t>Aterro Intermunicipal da Ilha do Pico</t>
  </si>
  <si>
    <t>Madalena, São Caetano</t>
  </si>
  <si>
    <t>364 t CH4</t>
  </si>
  <si>
    <t>Associação de Municípios da Ilha do Pico</t>
  </si>
  <si>
    <t>https://prtr.eea.europa.eu/#/facilitydetails?FacilityID=38689&amp;ReportingYear=2017</t>
  </si>
  <si>
    <t>CINCA - Unidade de Produção da Mealhada</t>
  </si>
  <si>
    <t>Vacariça, Mealhada</t>
  </si>
  <si>
    <t>Porto de Aveiro</t>
  </si>
  <si>
    <t>Gafanha da Nazaré</t>
  </si>
  <si>
    <t>8825 t CO2, 0.8 t CH4, 0.2 t N2O</t>
  </si>
  <si>
    <t>Aterro de Resíduos Não Perigosos de Castelo Branco</t>
  </si>
  <si>
    <t>355 t CH4</t>
  </si>
  <si>
    <t>Lena Ambiente II</t>
  </si>
  <si>
    <t>https://prtr.eea.europa.eu/#/facilitydetails?FacilityID=241626&amp;ReportingYear=2017</t>
  </si>
  <si>
    <t>Goldenpig - Produção Suinícola, Lda</t>
  </si>
  <si>
    <t xml:space="preserve"> Montemor-o-novo</t>
  </si>
  <si>
    <t>343 t CH4</t>
  </si>
  <si>
    <t>Com 2 000 lugares para suínos de produção (mais de 30kg)</t>
  </si>
  <si>
    <t>https://prtr.eea.europa.eu/#/facilitydetails?FacilityID=133856&amp;ReportingYear=2017</t>
  </si>
  <si>
    <t>Herdade da Daroeira</t>
  </si>
  <si>
    <t>Santiago do Cacém</t>
  </si>
  <si>
    <t>13,5 t N2O + 180 t CH4</t>
  </si>
  <si>
    <t>Sociedade Agrícola da Quinta da Freiria, S.A.</t>
  </si>
  <si>
    <t>Instalações para a criação intensiva de aves de capoeira com 40.000 lugares para aves</t>
  </si>
  <si>
    <t>https://prtr.eea.europa.eu/#/facilitydetails?FacilityID=5559&amp;ReportingYear=2017</t>
  </si>
  <si>
    <t>Aterro de resíduos não perigosos de Leiria</t>
  </si>
  <si>
    <t>328 t CH4</t>
  </si>
  <si>
    <t>RESILEI - Tratamento de Resíduos Industriais, S.A.</t>
  </si>
  <si>
    <t>https://prtr.eea.europa.eu/#/facilitydetails?FacilityID=5588&amp;ReportingYear=2017</t>
  </si>
  <si>
    <t>Cerâmica Outeiro do Seixo, S.A.</t>
  </si>
  <si>
    <t>Campelos, Torres Vedras</t>
  </si>
  <si>
    <t>Unidade da Resitejo (Aterro, Triagem e TM)</t>
  </si>
  <si>
    <t>308 t CH4</t>
  </si>
  <si>
    <t>RESITEJO - ASSOCIAÇÃO DE GESTÃO E TRATAMENTO DOS LIXOS DO MÉDIO TEJO</t>
  </si>
  <si>
    <t>https://prtr.eea.europa.eu/#/facilitydetails?FacilityID=38397&amp;ReportingYear=2017</t>
  </si>
  <si>
    <t>Inacer - Indústria Nacional de Cerâmica, Lda</t>
  </si>
  <si>
    <t>Quintãs</t>
  </si>
  <si>
    <t>Natural - Industria de Papel</t>
  </si>
  <si>
    <t>Povolide</t>
  </si>
  <si>
    <t>Natural - Industria de Papel, SA (EX - Luís Santos &amp; Monteiro SA)</t>
  </si>
  <si>
    <t>Fábrica em Satarém - FontSALEM</t>
  </si>
  <si>
    <t>FontSALEM Portugal</t>
  </si>
  <si>
    <t>Sociedade Cerâmica do Alto, Lda</t>
  </si>
  <si>
    <t>Conesa Portugal unidade Fabril</t>
  </si>
  <si>
    <t>Mora</t>
  </si>
  <si>
    <t>Conesa Portugal, S.A (Ex Sopragol Soc. Ind. de Produtos Agrícolas, S.A)</t>
  </si>
  <si>
    <t>CUF-Quimicos Industriais</t>
  </si>
  <si>
    <t>21.4t N2O</t>
  </si>
  <si>
    <t>CUF-Químicos Industriais S.A.</t>
  </si>
  <si>
    <t>https://prtr.eea.europa.eu/#/facilitydetails?FacilityID=5394&amp;ReportingYear=2017</t>
  </si>
  <si>
    <t>CLiPER</t>
  </si>
  <si>
    <t>CLiPER Cerâmica SA</t>
  </si>
  <si>
    <t>Central de Vapor</t>
  </si>
  <si>
    <t>Sumol+Compal, Marcas, S.A.</t>
  </si>
  <si>
    <t>Fabrica de Papel e Cartão da Zarrinha SA</t>
  </si>
  <si>
    <t>Rio Meão, Santa Maria da Feira</t>
  </si>
  <si>
    <t>Fabrica de Papel e Cartão da Zarrinha S.A</t>
  </si>
  <si>
    <t>Primus Vitória - Azulejos, S.A.</t>
  </si>
  <si>
    <t>Esgueira</t>
  </si>
  <si>
    <t>Modicer - Moda Cerâmica, S.A.</t>
  </si>
  <si>
    <t>Modicer - Moda Cerâmica S.A.</t>
  </si>
  <si>
    <t>Recivalongo - Gestão de Resíduos, LDA</t>
  </si>
  <si>
    <t>Valongo</t>
  </si>
  <si>
    <t>236 t CH4</t>
  </si>
  <si>
    <t>Recivalongo- Gestão de Resíduos Lda</t>
  </si>
  <si>
    <t>https://prtr.eea.europa.eu/#/facilitydetails?FacilityID=241620&amp;ReportingYear=2017</t>
  </si>
  <si>
    <t>Bresfor Indústria do Formol, S.A. .</t>
  </si>
  <si>
    <t>BRESFOR, Indústria do Formol, S.A.</t>
  </si>
  <si>
    <t>Margon - Materais e Revestimentos Modernos para edificações, S.A.</t>
  </si>
  <si>
    <t>Cruz da Légua, Pedreiras, Porto de Mós</t>
  </si>
  <si>
    <t>Horticilha, Agro - Industria, S.A.</t>
  </si>
  <si>
    <t>Alcochete</t>
  </si>
  <si>
    <t>Agriculture</t>
  </si>
  <si>
    <t>Porto da Figueira da Foz</t>
  </si>
  <si>
    <t>5303 t CO2, 0.5 t CH4, 0.1 t N2O</t>
  </si>
  <si>
    <t>Revigrés (Fábrica Mãe)</t>
  </si>
  <si>
    <t>Porto do Porto Santo</t>
  </si>
  <si>
    <t>5223 t CO2, 0.5 t CH4, 0.1 t N2O</t>
  </si>
  <si>
    <t>Renova - Fábrica de Papel do Almonda, S.A. - Fábrica 1</t>
  </si>
  <si>
    <t>Cerdomus - Indústrias Cerâmicas, SA</t>
  </si>
  <si>
    <t>Avelãs de Caminho</t>
  </si>
  <si>
    <t>Cerdomus - Indústrias Cerâmicas SA</t>
  </si>
  <si>
    <t>Sutol - Industrias Alimentares, Lda.</t>
  </si>
  <si>
    <t>Alcácer do Sal</t>
  </si>
  <si>
    <t>Aeroporto das Flores (Santa Cruz)</t>
  </si>
  <si>
    <t>Santa Cruz das Flores</t>
  </si>
  <si>
    <t>Ilha das Flores, Açores</t>
  </si>
  <si>
    <t>4754 t CO2, 0.3 t CH4, 0.1 t N2O</t>
  </si>
  <si>
    <t>Aleluia Cerâmicas SA - Unidade Fabril de Esgueira</t>
  </si>
  <si>
    <t>Ecoparque da Abrunheira (TMB-DA Tratolixo)</t>
  </si>
  <si>
    <t>São Miguel de Alcainça, Mafra</t>
  </si>
  <si>
    <t>185 t CH4</t>
  </si>
  <si>
    <t>TRATOLIXO, EIM</t>
  </si>
  <si>
    <t>https://prtr.eea.europa.eu/#/facilitydetails?FacilityID=301572&amp;ReportingYear=2017</t>
  </si>
  <si>
    <t>Unidade da Resiestrela (Aterro, TMB e Triagem)</t>
  </si>
  <si>
    <t>Fundão</t>
  </si>
  <si>
    <t>182 t CH4</t>
  </si>
  <si>
    <t>Resiestrela - Valorização e Tratamento de Resíduos Sólidos, S. A.</t>
  </si>
  <si>
    <t>https://prtr.eea.europa.eu/#/facilitydetails?FacilityID=5640&amp;ReportingYear=2017</t>
  </si>
  <si>
    <t>EuroResinas - Indústrias Químicas S.A.</t>
  </si>
  <si>
    <t>Euroresinas Indústrias Químicas S.A.</t>
  </si>
  <si>
    <t>Produção de produtos químicos orgânicos a grande escala</t>
  </si>
  <si>
    <t>Paulo de Oliveira, S.A.</t>
  </si>
  <si>
    <t>Covilhã</t>
  </si>
  <si>
    <t>Gresco - Grés de Coimbra, S.A.</t>
  </si>
  <si>
    <t>Taveiro</t>
  </si>
  <si>
    <t>Fabricação de ladrilhos, mosaicos e placas de cerâmica</t>
  </si>
  <si>
    <t>Selenis Energia, S.A.</t>
  </si>
  <si>
    <t>Portela de Carnaxide</t>
  </si>
  <si>
    <t>Evertis Energia, S.A.</t>
  </si>
  <si>
    <t>produção de especialidades de poliésteres para uma ampla gama de aplicações;  Combustão de combustíveis nas instalações</t>
  </si>
  <si>
    <t>Pavigrés II</t>
  </si>
  <si>
    <t>Aeroporto do Porto Santo</t>
  </si>
  <si>
    <t>3642 t CO2, 0.6 t CH4, 0.1 t N2O</t>
  </si>
  <si>
    <t>Aeroporto do Pico</t>
  </si>
  <si>
    <t>Pico</t>
  </si>
  <si>
    <t>3536 t CO2, 0.38 t CH4, 0.10 t N2O</t>
  </si>
  <si>
    <t>SATA Air Açores (Público/Estado)</t>
  </si>
  <si>
    <t>https://www.anac.pt/SiteCollectionDocuments/Publicacoes/anuarios/ACC_2017.pdf</t>
  </si>
  <si>
    <t>Monte da Coelha Nova (Quinta da Fonte Figueira)</t>
  </si>
  <si>
    <t>Estremoz</t>
  </si>
  <si>
    <t>140 t CH4</t>
  </si>
  <si>
    <t>Sociedade Agro-Pecuária de São Bento do Ameixial, Lda</t>
  </si>
  <si>
    <t>https://prtr.eea.europa.eu/#/facilitydetails?FacilityID=82278&amp;ReportingYear=2017</t>
  </si>
  <si>
    <t>Suinvest, SA</t>
  </si>
  <si>
    <t>Rio Maior</t>
  </si>
  <si>
    <t>137 t CH4</t>
  </si>
  <si>
    <t>Instalações para a criação intensiva de porcos com 750 lugares para porcas</t>
  </si>
  <si>
    <t>https://prtr.eea.europa.eu/#/facilitydetails?FacilityID=5424&amp;ReportingYear=2017</t>
  </si>
  <si>
    <t>Sociedade Transformadora de Papéis Vouga, Lda</t>
  </si>
  <si>
    <t>S. Paio Oleiros, Santa Maria da Feira</t>
  </si>
  <si>
    <t>Cerâmica Sotelha, SA</t>
  </si>
  <si>
    <t>Bustos, Oliveira do Bairro</t>
  </si>
  <si>
    <t>Aeroporto de Santa Maria (Vila do Porto)</t>
  </si>
  <si>
    <t>Vila do Porto, Santa Maria</t>
  </si>
  <si>
    <t>Ilha de Santa Maria, Açores</t>
  </si>
  <si>
    <t>3274 t CO2, 0.5 t CH4, 0.1 t N2O</t>
  </si>
  <si>
    <t>Porto de Portimão</t>
  </si>
  <si>
    <t>3262 t CO2, 0.3 t CH4, 0.09 t N2O</t>
  </si>
  <si>
    <t>Fábrica de PVC da CIRES, Lda</t>
  </si>
  <si>
    <t>Avanca, Estarreja</t>
  </si>
  <si>
    <t>CIRES, Lda</t>
  </si>
  <si>
    <t>Fábrica de papel do Tojal</t>
  </si>
  <si>
    <t>S. Julião do Tojal, Loures</t>
  </si>
  <si>
    <t>Fapajal - Fábrica de papel do Tojal, S.A.</t>
  </si>
  <si>
    <t>Euroeste, SA - Herdade da Susalva</t>
  </si>
  <si>
    <t>Salvaterra de Magos</t>
  </si>
  <si>
    <t>124 t CH4</t>
  </si>
  <si>
    <t>EUROESTE, SA</t>
  </si>
  <si>
    <t>Instalações para a criação intensiva de porcos com 2.000 lugares para porcos de produção (mais de 30 kg)</t>
  </si>
  <si>
    <t>https://prtr.eea.europa.eu/#/facilitydetails?FacilityID=38548&amp;ReportingYear=2017</t>
  </si>
  <si>
    <t xml:space="preserve"> Euroeste - Herdade da Rosenta</t>
  </si>
  <si>
    <t>Monte-Mor-o-Novo</t>
  </si>
  <si>
    <t>116t CH4</t>
  </si>
  <si>
    <t>https://prtr.eea.europa.eu/#/facilitydetails?FacilityID=5657&amp;ReportingYear=2017</t>
  </si>
  <si>
    <t>Fábrica de Papel da Lapa</t>
  </si>
  <si>
    <t>S. Paio de Oleiros, Santa Maria da Feira</t>
  </si>
  <si>
    <t>Fábrica de Papel da Lapa, Lda</t>
  </si>
  <si>
    <t>Sapor - Sociedade Portuguesa, Lda.</t>
  </si>
  <si>
    <t>Cartaxo</t>
  </si>
  <si>
    <t>113 t CH4</t>
  </si>
  <si>
    <t>https://prtr.eea.europa.eu/#/facilitydetails?FacilityID=38539&amp;ReportingYear=2017</t>
  </si>
  <si>
    <t>Quinta Velha de S.José</t>
  </si>
  <si>
    <t>Alcobaça</t>
  </si>
  <si>
    <t>111t CH4</t>
  </si>
  <si>
    <t>Agro-Pecuária Valinho, S.A.</t>
  </si>
  <si>
    <t>750 lugares para porcas</t>
  </si>
  <si>
    <t>https://prtr.eea.europa.eu/#/facilitydetails?FacilityID=5527&amp;ReportingYear=2017</t>
  </si>
  <si>
    <t>Luso Telha, Lda</t>
  </si>
  <si>
    <t>Aguada de Cima, Águeda</t>
  </si>
  <si>
    <t>Luso Telha, Cerâmica de Telhas e Tijolos de Águeda, Lda. (Ex Jomar)</t>
  </si>
  <si>
    <t>Aeródromo da Graciosa</t>
  </si>
  <si>
    <t>Santa Cruz da Graciosa</t>
  </si>
  <si>
    <t>Ilha Graciosa, Açores</t>
  </si>
  <si>
    <t>2627 t CO2, 0.28 t CH4, 0.07 t N2O</t>
  </si>
  <si>
    <t>Herdade das Místicas</t>
  </si>
  <si>
    <t>Arraiolos</t>
  </si>
  <si>
    <t>105 t CH4</t>
  </si>
  <si>
    <t>Fontembro - Sociedade Agrícola e Imobiliária, Lda</t>
  </si>
  <si>
    <t>https://prtr.eea.europa.eu/#/facilitydetails?FacilityID=5512&amp;ReportingYear=2017</t>
  </si>
  <si>
    <t>Aviário do Resouro - Produção de Ovos Lda</t>
  </si>
  <si>
    <t>Ourém</t>
  </si>
  <si>
    <t>104 t CH4</t>
  </si>
  <si>
    <t>Aviário do Resouro - Produção de Ovos, Lda.</t>
  </si>
  <si>
    <t>https://prtr.eea.europa.eu/#/facilitydetails?FacilityID=82315&amp;ReportingYear=2017</t>
  </si>
  <si>
    <t>Unidade Industrial de Mortágua</t>
  </si>
  <si>
    <t>Mortágua</t>
  </si>
  <si>
    <t>Cerâmica Vale da Gândara, S.A</t>
  </si>
  <si>
    <t>Aeródromo de São Jorge</t>
  </si>
  <si>
    <t xml:space="preserve"> Fajã da Queimada, Santo Amaro</t>
  </si>
  <si>
    <t>Ilha de São Jorge, Açores</t>
  </si>
  <si>
    <t>2549 t CO2, 0.27 t CH4, 0.07 t N2O</t>
  </si>
  <si>
    <t>Casalito - Amor</t>
  </si>
  <si>
    <t>Amor</t>
  </si>
  <si>
    <t>100 t CH4</t>
  </si>
  <si>
    <t>Manuel Querido - Produção e Comércio de Suinos, Lda</t>
  </si>
  <si>
    <t xml:space="preserve"> Instalações para a criação intensiva de porcos com 2.000 lugares para porcos de produção (mais de 30 kg)</t>
  </si>
  <si>
    <t>https://prtr.eea.europa.eu/#/facilitydetails?FacilityID=5547&amp;ReportingYear=2017</t>
  </si>
  <si>
    <t>Oliveira Santos &amp; Irmão, Lda</t>
  </si>
  <si>
    <t>Paços de Brandão, Santa Maria da Feira</t>
  </si>
  <si>
    <t>Grestejo - Industrias Cerâmicas S.A</t>
  </si>
  <si>
    <t>Porto de Viana do Castelo</t>
  </si>
  <si>
    <t>1969 t CO2, 0.2 t CH4, 0.05 t N2O</t>
  </si>
  <si>
    <t>Fábrica de Açúcar</t>
  </si>
  <si>
    <t>SINAGA Sociedade de Indústrias Agrícolas Açoreanas, S.A.</t>
  </si>
  <si>
    <t>Fábrica de Papel de Ponte Redonda</t>
  </si>
  <si>
    <t>Espinho</t>
  </si>
  <si>
    <t>Fábrica de Papel de Ponte Redonda, S.A.</t>
  </si>
  <si>
    <t>Nestlé Portugal, S.A - Fábrica de Avanca</t>
  </si>
  <si>
    <t>Nestlé Portugal, S.A.</t>
  </si>
  <si>
    <t>Aeródromo do Corvo</t>
  </si>
  <si>
    <t>Vila do Corvo</t>
  </si>
  <si>
    <t>Ilha do Corvo, Açores</t>
  </si>
  <si>
    <t>1379 t CO2, 0.15 t CH4, 0.04 t N2O</t>
  </si>
  <si>
    <t>Prélis Cerâmica, Lda</t>
  </si>
  <si>
    <t>Alcogulhe de Cima</t>
  </si>
  <si>
    <t>dst-Central de betuminoso</t>
  </si>
  <si>
    <t>Palmeira</t>
  </si>
  <si>
    <t>dst-Domingos da Silva Teixeira, SA</t>
  </si>
  <si>
    <t>Fábrica de Serração e Cerâmica Amaro de Macedo, S.A</t>
  </si>
  <si>
    <t>Cervães, Vila Verde</t>
  </si>
  <si>
    <t>F. S. e Cerâmica Amaro de Macedo, S.A</t>
  </si>
  <si>
    <t>Cerâmica de Pegões</t>
  </si>
  <si>
    <t>Santo Isidro de Pegões, Montijo</t>
  </si>
  <si>
    <t>Cerâmica de Pegões - J. G. Silva, S.A.</t>
  </si>
  <si>
    <t>Cetipal - Cerâmica de Tijolos e Pavimentos, S.A.</t>
  </si>
  <si>
    <t>Cetipal - Cerâmica de Tijolos e Pavimentos, S.A</t>
  </si>
  <si>
    <t>Cerâmica F. Santiago, Lda.</t>
  </si>
  <si>
    <t>Porto de Mós</t>
  </si>
  <si>
    <t>Porto de Faro</t>
  </si>
  <si>
    <t>603 t CO2, 0.06 t CH4, 0.02 t N2O</t>
  </si>
  <si>
    <t>SPE-Sociedade de Produção de Electricidade e Calor</t>
  </si>
  <si>
    <t>Vila Nova Famalicão</t>
  </si>
  <si>
    <t>SPE-Sociedade de Produção de Electricidade e Calor, S.A.</t>
  </si>
  <si>
    <t>Tijolágueda - Cerâmica de Águeda - Lda</t>
  </si>
  <si>
    <t>Cerâmica Flaviense, Lda</t>
  </si>
  <si>
    <t>Chaves</t>
  </si>
  <si>
    <t>Ucherâmica - Cerâmica da Ucha</t>
  </si>
  <si>
    <t>Ucha</t>
  </si>
  <si>
    <t>Ucherâmica - Cerâmica da Ucha, Lda.</t>
  </si>
  <si>
    <t>M. A. Lopes D'Avó, Lda</t>
  </si>
  <si>
    <t>Amiais de Cima</t>
  </si>
  <si>
    <t>TOTAL</t>
  </si>
  <si>
    <t>Notes</t>
  </si>
  <si>
    <t>HC - hard-coal; LIG - Lignite; FO - fuel-oil; GO - Diesel oil; NG - Natural Gas; WW – Wood Waste; BG - Biogas ; LPG – Liquid Petroleum Gas</t>
  </si>
  <si>
    <t>OTHER INFORMATION IN ABNORMAL FORMATS</t>
  </si>
  <si>
    <t>Transportes Aéreos Portugueses, S.A.</t>
  </si>
  <si>
    <t>Netjets Transportes Aereos SA</t>
  </si>
  <si>
    <t>Transports – private aviation</t>
  </si>
  <si>
    <t>SATA Internacional - azores airlines S.A.</t>
  </si>
  <si>
    <t>Automóveis</t>
  </si>
  <si>
    <t>Transports – road</t>
  </si>
  <si>
    <t>Anex I</t>
  </si>
  <si>
    <t>408 comboios a combústiveis fósseis</t>
  </si>
  <si>
    <t>Estado</t>
  </si>
  <si>
    <t>Transports – trains</t>
  </si>
  <si>
    <t>LULUCF (LAND USE AND LAND USE CHANGE AND FORESTRY)</t>
  </si>
  <si>
    <t>Carbon Emissions (kt C)</t>
  </si>
  <si>
    <t>Carbon Removals (kt C)</t>
  </si>
  <si>
    <t>Net Carbon emissions (kt C)</t>
  </si>
  <si>
    <t>Net CO2 emissions (kt CO2)</t>
  </si>
  <si>
    <t>source: PRT_2020_2028</t>
  </si>
  <si>
    <t>Annual Change in Carbon Stocks (Forest Land remaining Forest Land)</t>
  </si>
  <si>
    <t>Tabela4.A</t>
  </si>
  <si>
    <t>Annual Change in Carbon stocks (Land converted to Forest Land)</t>
  </si>
  <si>
    <t>Annual Change in carbon stocks (Cropland remaining cropland)</t>
  </si>
  <si>
    <t>-197,66</t>
  </si>
  <si>
    <t>Tabela4.B</t>
  </si>
  <si>
    <t>Annual Change in carbon stocks (Land converted to Cropland)</t>
  </si>
  <si>
    <t>Annual Change in Carbon stocks in mineral soils (Grassland remaining grassland)</t>
  </si>
  <si>
    <t>Tabela4.C</t>
  </si>
  <si>
    <t>Annual Change in Carbon stocks (Land converted to Grassland)</t>
  </si>
  <si>
    <t>Annual Change in Carbon stocks (Land converted to Wetlands)</t>
  </si>
  <si>
    <t>332.04</t>
  </si>
  <si>
    <t>Tabela4.D</t>
  </si>
  <si>
    <t>Change in carbon stocks  (Land converted to Settlements)</t>
  </si>
  <si>
    <t>Tabela4.E</t>
  </si>
  <si>
    <t>Change in carbon stocks in biomass (Lands converted to Other Lands)</t>
  </si>
  <si>
    <t>Tabela4.F</t>
  </si>
  <si>
    <t>Biomass burning</t>
  </si>
  <si>
    <t>Tabela4(V)</t>
  </si>
  <si>
    <t>Total (kt)</t>
  </si>
  <si>
    <t>Total (Mt)</t>
  </si>
  <si>
    <t>Mt CO2</t>
  </si>
  <si>
    <t>LULUCF = -7 Mt CO2</t>
  </si>
  <si>
    <t>Page 4</t>
  </si>
  <si>
    <t>FUTURE PROJECTS</t>
  </si>
  <si>
    <t>INFRASTRUCTURE / SECTOR EXPANSION / PROJECT</t>
  </si>
  <si>
    <t>Local</t>
  </si>
  <si>
    <t>EXPECTED EMISSIONS INCREASE (if available)</t>
  </si>
  <si>
    <t>SOURCE (link)</t>
  </si>
  <si>
    <t>OWNERS / CONSORTIUMS</t>
  </si>
  <si>
    <t>FINANCING</t>
  </si>
  <si>
    <t>SOURCE (Link)</t>
  </si>
  <si>
    <t>CONTRACTORS</t>
  </si>
  <si>
    <t>FONTE (Link)</t>
  </si>
  <si>
    <t>Gas pipeline Celorico - Vale de Frades</t>
  </si>
  <si>
    <t>Energy</t>
  </si>
  <si>
    <t xml:space="preserve"> REN Gasodutos, S.A.;  ENAGAS, S.A.</t>
  </si>
  <si>
    <t>https://www.ren.pt/files/2018-08/2018-08-09095141_4c65f7f1-2e56-4968-a1af-585420fa64e0$$1a023d9d-e762-427c-8e7c-d5c21194812c$$a801cd83-c051-4001-8c35-99dde04eadb7$$pt_pt__file$$pt$$1.pdf</t>
  </si>
  <si>
    <t>REN Gasodutos S.A.; European Comission</t>
  </si>
  <si>
    <t>https://www.ren.pt/en-GB/media/comunicados/detalhe/ren_gets_funding_from_the_european_commission_for_projects_in_the_natural_gas_and_electricity/</t>
  </si>
  <si>
    <t xml:space="preserve"> </t>
  </si>
  <si>
    <t>Portela airport expansion</t>
  </si>
  <si>
    <t>2022 - Portela (pós expansão): 3.58 Mt de emissões directas de CO 2 e 6,80 Mt de CO 2 -eq.</t>
  </si>
  <si>
    <t>http://www.snmportugal.pt/Contestacao_EIA_Novo_Aeroporto_de_Montijo.pdf</t>
  </si>
  <si>
    <t>VINCI Airports (ANA)</t>
  </si>
  <si>
    <t>https://www.ana.pt/pt/institucional/imprensa/2019/01/09/ana-vinci-airports-assina-acordo-com-o-governo-portugues-para-financiar-a-expansao-da-capacidade-do-aeroporto-de-lisboa-</t>
  </si>
  <si>
    <t>New airport (Montijo or other location)</t>
  </si>
  <si>
    <t>Montijo: 0,66 Mt de emissões directas de CO 2 e 1,26 Mt de CO 2 -eq</t>
  </si>
  <si>
    <t>Terminal XXI Expansion at the Port of Sines - Phase 3 and 4</t>
  </si>
  <si>
    <t>PSA Sines (Private) e a Administração do Porto de Sines (APS) (Public/State)</t>
  </si>
  <si>
    <t>https://24.sapo.pt/atualidade/artigos/obras-de-expansao-do-terminal-xxi-do-porto-de-sines-arrancam-em-janeiro-de-2021</t>
  </si>
  <si>
    <t>Lisbon's Drainage Tunnels</t>
  </si>
  <si>
    <t>Consórcio que integra Mota-Engil e SPIE Batignolles</t>
  </si>
  <si>
    <t>https://www.dn.pt/edicao-do-dia/07-jan-2021/e-invisivel-a-maior-obra-de-lisboa---mas-vai-proteger-a-cidade-13202601.html</t>
  </si>
  <si>
    <t>new Forest Biomass Plant in Mortágua (second on site)</t>
  </si>
  <si>
    <t>Bioelétrica da Foz, S.A. - Grupo Altri</t>
  </si>
  <si>
    <t>https://viseunow.pt/mortagua-instalacao-de-nova-central-de-biomassa-florestal/</t>
  </si>
  <si>
    <t>Deepening of the Barra, Access Channel and Maneuvering Basin of the Figueira da Foz Port</t>
  </si>
  <si>
    <t>Administração do Porto da Figueira da Foz, S.A.</t>
  </si>
  <si>
    <t>https://participa.pt/pt/consulta/aprofundamento-da-barra-canal-de-acesso-e-bacia-de-manobras-do-porto-da-ffoz</t>
  </si>
  <si>
    <t>Ampliação da Pedreira de Monte Chãos</t>
  </si>
  <si>
    <t>Objectivo de fornecer agregados para as obras no porto de Sines</t>
  </si>
  <si>
    <t>Extraction</t>
  </si>
  <si>
    <t>Administração dos Portos de Sines e do Algarve, S. A.</t>
  </si>
  <si>
    <t>https://participa.pt/pt/consulta/ampliacao-da-pedreira-de-monte-chaos</t>
  </si>
  <si>
    <t>22 áreas para prospeção de lítio e outros minerais</t>
  </si>
  <si>
    <t>http://mapadominerio.auportugal.eu/index.html ; https://miningwatch.pt/#factsheet</t>
  </si>
  <si>
    <t>Fortescue Metals Group</t>
  </si>
  <si>
    <t>Novo Terminal de Contentores do Porto de Leixões</t>
  </si>
  <si>
    <t>APDL –Administração dos Portos do Douro, Leixões e Viana do Castelo, S.A</t>
  </si>
  <si>
    <t>https://participa.pt/pt/consulta/novo-terminal-de-contentores-do-porto-de-leixoes</t>
  </si>
  <si>
    <t>Prolongamento do Quebra-Mar Exterior e das Acessibilidades Marítimas do Porto de Leixões</t>
  </si>
  <si>
    <t>http://www.apdl.pt/pt/noticias/-/asset_publisher/JsT147UgzfhS/content/contratualizada-a-empreitada-de-prolongamento-do-quebra-mar-exterior-e-das-acessibilidades-maritimas-do-porto-de-leixoes?_101_INSTANCE_JsT147UgzfhS_redirect=http%3A%2F%2Fwww.apdl.pt%2Fpt%2Fnoticias%3Fp_p_id%3D101_INSTANCE_JsT147UgzfhS%26p_p_lifecycle%3D0%26p_p_state%3Dnormal%26p_p_mode%3Dview%26p_p_col_id%3Dcolumn-2%26p_p_col_pos%3D1%26p_p_col_count%3D2&amp;redirect=http%3A%2F%2Fwww.apdl.pt%2Fpt%2Fnoticias%3Fp_p_id%3D101_INSTANCE_JsT147UgzfhS%26p_p_lifecycle%3D0%26p_p_state%3Dnormal%26p_p_mode%3Dview%26p_p_col_id%3Dcolumn-2%26p_p_col_pos%3D1%26p_p_col_count%3D2</t>
  </si>
  <si>
    <t>Missing links e Aumento de capacidade da Rede Rodoviária</t>
  </si>
  <si>
    <t>Estão previstas as seguintesintervenções rodoviárias:▪Ligação ao IP3 dos Concelhos a sul;▪EN14.  Interface  Rodoferroviárioda  Trofa/Santana,  incluindo  nova  ponte  sobre  o  Rio Ave;▪EN14. -Maia (Nó do Jumbo) / Interface Rodoferroviário da Trofa);▪EN4. Variante da Atalaia;▪IC35. Penafiel (EN15) / Rans;▪IC35. Rans / Entre-os Rios;▪IC35. Sever do Vouga / IP5 (A25); IP2. Variante nascente de Évora;▪Ligação de Baião a Ponte de Ermida;▪Eixo Rodoviário Aveiro –Águeda;▪EN344.  km 67+800 a km 75+520 –Pampilhosa da Serra;▪EN125. Variantea Olhão;▪IC2 (EN1). Meirinhas (km 136,700) /Pombal (KM 148,500);▪IP8 (EN121).Ferreira do Alentejo /Beja, incluindo Variante a Beringel;▪IP8 (EN259).Sta. Margarida do Sado /Ferreira do Alentejo, incluindo Variante de Figueira de Cavaleiros;▪IP8(A26). Aumento de Capacidade na ligação entre Sines e a A2;▪Variante à EN211 -Quintã / Mesquinhata.</t>
  </si>
  <si>
    <t xml:space="preserve"> Infraestruturas   de   Portugal,   S.A</t>
  </si>
  <si>
    <t>https://www.portugal.gov.pt/pt/gc22/comunicacao/documento?i=plano-de-recuperacao-e-resiliencia-recuperar-portugal-2021-2026-plano-preliminar-</t>
  </si>
  <si>
    <t>362,9M€</t>
  </si>
  <si>
    <t>Desenvolver Ligações transfronteiriças De rodoviária</t>
  </si>
  <si>
    <t>destacando-se  a importância da intervenção em ligações como sejam:▪EN103.Vinhais/Bragança (variantes);▪IC31.Castelo Branco / Monfortinho;▪Ligação de Bragança a Puebla de Sanabria (ES);▪Ponte internacional sobre o Rio Sever;▪Ponte Alcoutim –Saluncar del Guadiana (ES).</t>
  </si>
  <si>
    <t>110M€</t>
  </si>
  <si>
    <t>Áreas de Acolhimento Empresarial (AAE) –Acessibilidades Rodoviárias</t>
  </si>
  <si>
    <t>Destacam-se, a título exemplificativo, os seguintes investimentos:▪Ligação  ao  Parque  Industrial  do  Mundão–Eliminação  de  constrangimentosna  EN229 Viseu/ Sátão;▪Ligação ao Parque Industrial do Mundão: EN229 –ex-IP5 / Parque Industrial do Mundão;▪Acessibilidades à Zona Industrial de Riachos;▪Acesso do Parque Empresarial de Camporês ao IC8 (Ansião);▪EN10-4. Setúbal/ Mitrena;▪EN333.Ligação do Nó de Águeda do IC2 à EN 235 em Perrães,para acesso à A1;EN341. Alfarelos (EN342)/ Taveiro (Acesso ao Terminal Ferroviário de Alfarelos);▪IC6. Tábua / Folhadosa;▪Ligação à Área Industrial de Fontiscos e reformulação do Nó de Ermida (Santo Tirso);▪Ligação da A8 à Área Empresarial das Palhagueiras em Torres Vedras;▪Ligação da Zona Industrial de Cabeça de Porca (Felgueiras) à A11;▪Ligação da Zona Industrial de Rio Maior à EN114;▪Melhoria das acessibilidades à Área de Localização Empresarial de Lavagueiras (Castelo de Paiva);▪Melhoria de acessibilidades à Zona Industrial Campo Maior;▪Variante à EN248 (Arruda dos Vinhos);▪Variante de Aljustrel –Melhoria das acessibilidades à Zona de Extração Mineira e à Área de Localização Empresarial;▪Via do Tâmega –Variante à EN210 (Celorico de Basto);▪Ligação do Parque Empresarial do Casarão ao IC2;▪Nova travessia do Rio Lima entre EN203–Deocriste e EN202–Nogueira;▪Rotunda na EN246 para acesso à zona industrial de Portalegre;▪Acesso ao Avepark -Parque de Ciência e Tecnologia das Taipas (Guimarães);▪Acesso rodoviário da zona industrial do Vale do Neiva ao Nó da A28.</t>
  </si>
  <si>
    <t>190M€</t>
  </si>
  <si>
    <t>Circuitos logísticos -Rede Viária Regional dos Açores</t>
  </si>
  <si>
    <t>60M€</t>
  </si>
  <si>
    <t>Barragem na bacia hidrográfica do Tejo, Crato</t>
  </si>
  <si>
    <t>Aprofundamento e Alargamento do Canal Navegação do Porto de Portimão</t>
  </si>
  <si>
    <t>APS - Administração dos Portos de Sines e do Algarve, SA</t>
  </si>
  <si>
    <t>https://participa.pt/pt/consulta/aprofundamento-e-alargamento-do-canal-navegacao-do-porto-de-portimao</t>
  </si>
  <si>
    <t>EN14 -Maia/Famalicão (PETI3+): Via Diagonal -Santana, incluindo a nova Ponte sobre o rio Ave</t>
  </si>
  <si>
    <t>https://www.portugal.gov.pt/pt/gc22/comunicacao/documento?i=apresentacao-do-programa-nacional-de-investimentos-para-2030</t>
  </si>
  <si>
    <t>Via do Tâmega. Troço Corgo -A7;</t>
  </si>
  <si>
    <t>IC9, A23 –Ponte de Sôr, e IC13, Ponte de Sôr–Alter do Chão –Portalegre, incluindo nova Ponte sobre o Rio Tejo entre Constância e Abrantes</t>
  </si>
  <si>
    <t>IC35, Penafiel -Entre-os-Rios</t>
  </si>
  <si>
    <t>IC35, Sever do Vouga –IP5 (A25)</t>
  </si>
  <si>
    <t>IC11, 1ª Fase;</t>
  </si>
  <si>
    <t>Nó de ligação entre A1 e IC9, Leiria;</t>
  </si>
  <si>
    <t>Prolongamento do IC5 até Miranda do Douro;</t>
  </si>
  <si>
    <t>IC1, Caminha –A3;</t>
  </si>
  <si>
    <t>IP2, Variante Nascente de Évora;</t>
  </si>
  <si>
    <t>Arco ribeirinho Sul</t>
  </si>
  <si>
    <t>Conclusão do IP8 entre Sines e Beja</t>
  </si>
  <si>
    <t>Desenvolver Porto Lisboa</t>
  </si>
  <si>
    <t>Construções no Porto de Setúbal e dragagens de aprofundamento do canal da Barra e do Canal Norte Norte</t>
  </si>
  <si>
    <t>Expansão da capacidade do Porto de Aveiro</t>
  </si>
  <si>
    <t>Porto de Viana do Castelo - Desenvolvimento</t>
  </si>
  <si>
    <t>Desenvolvimento de Aquicultura Sustentável</t>
  </si>
  <si>
    <t>Ocean</t>
  </si>
  <si>
    <t>Primeira interligação elétrica entre Portugal e Marrocos - Ligação entre o Sul do País, Algarve, e o Noroeste do Reino de Marrocos</t>
  </si>
  <si>
    <t>Nova interligação Minho-Galiza</t>
  </si>
  <si>
    <t>GNL marítimo</t>
  </si>
  <si>
    <t>Instalação dos cabos elétricos submarinos de ligação dos parques de produção de  energia offshore e aos pontos de interligação com à Rede Elétrica Nacional</t>
  </si>
  <si>
    <t>Projecto Industrial de Produção de Hidrogénio em Sines</t>
  </si>
  <si>
    <t>37 projetos já aprovados pelo Governo no âmbito do hidrogénio verde</t>
  </si>
  <si>
    <t>https://jornaleconomico.sapo.pt/noticias/conheca-os-37-projetos-ja-aprovados-pelo-governo-no-ambito-do-hidrogenio-verde-660995</t>
  </si>
  <si>
    <t>Projecto de Hidrogénio na Central Termoélectrica da Tapada do Outeiro</t>
  </si>
  <si>
    <t>TURBOGÁS</t>
  </si>
  <si>
    <t>Plano Nacional de Hidrogénio</t>
  </si>
  <si>
    <t>Projecto de Hidrogénio na Central Termoélectrica do Ribatejo</t>
  </si>
  <si>
    <t>EDP</t>
  </si>
  <si>
    <t>Nova instalação avícola Dourado Quotidiano, Lda.</t>
  </si>
  <si>
    <t>Instalação avícola para produção intensiva de frangos de carne - 79200 frangos por ciclo</t>
  </si>
  <si>
    <t>Dourado Quotidiano, Lda.</t>
  </si>
  <si>
    <t>https://participa.pt/pt/consulta/licenciamento-ambiental-dourado-quotidiano</t>
  </si>
  <si>
    <t>Aumento de capacidade da Herdade da Rosenta, em Montemor-o-Novo</t>
  </si>
  <si>
    <t>actualmente têm 800 porcas reprodutoras e 44 varrascos em regime  intensivo. Pretende-se  agora  alterar  o  tipo  de  produção para  recria  e acabamento de animais, com uma capacidade para 7834animais em recria e 13760 animais de engorda, ou seja, 2455,7CN. Com esta alteraçãonãohaverá alteração em termos  de implantação  dos  edifícios.Asalteraçõesa efetuar serão  apenas  no interior das instalações.</t>
  </si>
  <si>
    <t>https://participa.pt/pt/consulta/processo-de-licenciamento-ambiental-da-euroeste-sa-rosenta</t>
  </si>
  <si>
    <t>EN211 - Variante entre Quintã e Mesquinhata</t>
  </si>
  <si>
    <t>Infraestruturas de Portugal, S.A.</t>
  </si>
  <si>
    <t>https://participa.pt/pt/consulta/en211-variante-entre-quinta-e-mesquinhata</t>
  </si>
  <si>
    <t>Instalação Avícola da Valeira Baixa</t>
  </si>
  <si>
    <t>capacidade total para 61 500 aves/ciclo e um total de cerca de 130.000 perus/ano.</t>
  </si>
  <si>
    <t>Triperu - Sociedade de Produção e Comercialização Aves, SA</t>
  </si>
  <si>
    <t>https://participa.pt/pt/consulta/instalacao-avicola-da-valeira-baixa</t>
  </si>
  <si>
    <t>Instalação avícola de Proença-a-Nova</t>
  </si>
  <si>
    <t>6 pavilhões avícolasdestinados à criação de intensiva de frangos de engorda, com  uma  capacidade  instalada  de  690.000  frangos/ciclo  de  produção</t>
  </si>
  <si>
    <t>Meigal -Construção e Adm. Propriedades S.A -&gt; Grupo Lusiaves</t>
  </si>
  <si>
    <t>https://participa.pt/pt/consulta/consulta-publica-do-projeto-da-instalacao-avicola-de-proenca-a-nova</t>
  </si>
  <si>
    <t>Ampliação da Pedreira n.º 6619 - Plaina das Queirogas</t>
  </si>
  <si>
    <t>Brivel - Britas e Betões de Vila Real</t>
  </si>
  <si>
    <t>https://participa.pt/pt/consulta/projeto-da-ampliacao-da-pedreira-n-6619-plaina-das-queirogas-6266</t>
  </si>
  <si>
    <t>Ampliação da Pedreira n.º 5111 – Sorte do Mato das Lagedas</t>
  </si>
  <si>
    <t>BRITAMINHO – Granitos e Britas do Minho, LDA.</t>
  </si>
  <si>
    <t>https://participa.pt/pt/consulta/ampliacao-da-pedreira-n-5111-sorte-do-mato-das-lagedas</t>
  </si>
  <si>
    <t>Ampliação e Fusão das Pedreiras nº 4868 – Poço Negro nº 3, nº 4811 – Vilar nº 5 e nº 5550 –Poço nº 4</t>
  </si>
  <si>
    <t>Britafiel - Agregados e Ornamentais, S.A.</t>
  </si>
  <si>
    <t>https://participa.pt/pt/consulta/ampliacao-e-fusao-das-pedreiras-no-4868-poco-negro-no-3-no-4811-vilar-no-5-e-no-5550poco-no-4</t>
  </si>
  <si>
    <t>Ampliação da Pedreira "Pia das Lages nº 3"</t>
  </si>
  <si>
    <t>Bentos Indústria de Mármores Lda</t>
  </si>
  <si>
    <t>https://participa.pt/pt/consulta/ampliacao-da-pedreira-pia-das-lages-n-3-5930</t>
  </si>
  <si>
    <t>Exploração da Pedreira Carrascal</t>
  </si>
  <si>
    <t>Óbidos Azul, Lda.</t>
  </si>
  <si>
    <t>https://participa.pt/pt/consulta/pedreira-carrascal</t>
  </si>
  <si>
    <t>Ampliação da Pedreira n.º 5755 – Paçô</t>
  </si>
  <si>
    <t>Pedreira N.º 6284 – Zibreira</t>
  </si>
  <si>
    <t>Pedreira "Vale Salgueiro"</t>
  </si>
  <si>
    <t>O  projeto  consiste  na  exploração  de  uma  pedreira  com  uma  área  total  5,2  hectares  e  uma  área de escavação de 4,1 hectares. Localiza-se no  concelho  de  Anadia,  na  freguesia  de  Avelãs de Cima (ver Figura 1), no distrito de Aveiro. O  projeto  insere-se  na  área  declarada  cativa  para  Argilas  Especiais  de  Águeda  -  Anadia</t>
  </si>
  <si>
    <t>Corbário  -  Minerais  Industriais,  S.A</t>
  </si>
  <si>
    <t>https://participa.pt/pt/consulta/pedreira-vale-salgueiro</t>
  </si>
  <si>
    <t>Projeto da “Ampliação da Pedreira n.º 6598 – Caminho Velho”</t>
  </si>
  <si>
    <t>6,0 há, na serra da Falperra, freguesia de Torre do Pinhão, concelho de Sabrosa e dentro da área definida para a exploração de granito</t>
  </si>
  <si>
    <t>Gravalima - Granitos do Vale do Lima, Lda.</t>
  </si>
  <si>
    <t>https://participa.pt/pt/consulta/projeto-da-ampliacao-da-pedreira-no-6598-caminho-velho</t>
  </si>
  <si>
    <t>Ampliação da Pedreira n.º 6560 "Barreiras-Carapinhal"</t>
  </si>
  <si>
    <t>Sorgila - Sociedade de Argilas, S.A.</t>
  </si>
  <si>
    <t>https://participa.pt/pt/consulta/consulta-publica-do-projeto-de-ampliacao-da-pedreira-no-6560-barreiras-carapinhal</t>
  </si>
  <si>
    <t>Ampliação da Pedreira n.º 5354 - Pedreira das Lages</t>
  </si>
  <si>
    <t>Nital - Granito Natural, Lda.</t>
  </si>
  <si>
    <t>https://participa.pt/pt/consulta/ampliacao-da-pedreira-n-5354-pedreira-das-lages</t>
  </si>
  <si>
    <t>Projeto de Ampliação e Fusão das Pedreiras n.º 6476 - “Fojos n.º 6”, n.º 5123 - “Fojos n.º 13”, n.º 5135 - “Grulha” e n.º 5133 - “Felgueira do Moço”</t>
  </si>
  <si>
    <t>Oliveira Rodrigues - Granitos de Pedras Salgadas, Lda.</t>
  </si>
  <si>
    <t>https://participa.pt/pt/consulta/ampliacao-e-fusao-das-pedreiras-n-6476-n-5123-n-5135-e-n-5133</t>
  </si>
  <si>
    <t>NOTES</t>
  </si>
  <si>
    <t>1. In Participa.pt one can find several projects for new hotels, condominiums, golf courses and theme parks/leisure facilities</t>
  </si>
  <si>
    <t>2. In Participa.pt one can find several projects for railway transports, photovoltaic plants and solar plants;</t>
  </si>
  <si>
    <t>3. In Participa.pt one can find several projects for waste treatment facilities</t>
  </si>
  <si>
    <t>4. In Participa.pt one can find several projects for Expansion of Industrial Zones</t>
  </si>
  <si>
    <t>Page 5</t>
  </si>
  <si>
    <t>GLASGOW AGREEMENT INVENTORY - FAIR SHARES</t>
  </si>
  <si>
    <t>Units</t>
  </si>
  <si>
    <t>EMISSIONS 2018</t>
  </si>
  <si>
    <t>Date from “By Sector”</t>
  </si>
  <si>
    <t>FAIR SHARE EMISSIONS 2030:</t>
  </si>
  <si>
    <t>Paris Equity Check Greenhouse development rights</t>
  </si>
  <si>
    <t>74% emissions cut compared to 2010</t>
  </si>
  <si>
    <t>CUT PERCENTAGE:</t>
  </si>
  <si>
    <t>%</t>
  </si>
  <si>
    <t>we have to cut 75% of the emissions compared to 2018</t>
  </si>
  <si>
    <t>Página 6</t>
  </si>
  <si>
    <t xml:space="preserve">INVENTÁRIO DO ACORDO DE GLASGOW - QUOTA JUSTA  </t>
  </si>
  <si>
    <t>ANEX 1 – Data relevante do Relátorio do Inventário Nacional – 2020, Portugal, feito pela APA</t>
  </si>
  <si>
    <t>LINK: https://apambiente.pt/_zdata/Inventario/20200318/NIR_FINAL.pdf</t>
  </si>
  <si>
    <t>SETOR</t>
  </si>
  <si>
    <t>SUB SETOR</t>
  </si>
  <si>
    <t>EMISSÕES (kt CO2eq)</t>
  </si>
  <si>
    <t>% DO TOTAL DE EMISSÕES</t>
  </si>
  <si>
    <t>Fonte (link)</t>
  </si>
  <si>
    <t>Outra informação / notas</t>
  </si>
  <si>
    <t>ENERGIA</t>
  </si>
  <si>
    <t>mainly CO2 &amp; CH4</t>
  </si>
  <si>
    <t>Industria Energética</t>
  </si>
  <si>
    <t>National Inventory Report - 2020 Portugal, made by APA  (page 67)</t>
  </si>
  <si>
    <r>
      <t>Electricidade pública e produção de calor:</t>
    </r>
    <r>
      <rPr>
        <sz val="10"/>
        <color rgb="FF000000"/>
        <rFont val="Helvetica Neue"/>
      </rPr>
      <t xml:space="preserve"> 16 centrais eléctricas em Portugal continental; a produção de electricidade nas regiões autónomas da Madeira e Açores depende sobretudo de centrais eléctricas de pequena e média escala que utilizam fuelóleo residual importado e/ou gasóleo; os autoprodutores não incluídos nos seus ramos industriais e comerciais foram considerados produtores não públicos de energia de cogeração e incluídos nesta secção; 0,6 Mt CO2e de emissões das Indústrias Energéticas provêm da Incineração Municipal de Resíduos Sólidos, com recuperação de energia. </t>
    </r>
    <r>
      <rPr>
        <b/>
        <sz val="12"/>
        <color rgb="FF000000"/>
        <rFont val="Helvetica Neue"/>
      </rPr>
      <t>Refinação de Petróleo:</t>
    </r>
    <r>
      <rPr>
        <sz val="10"/>
        <color rgb="FF000000"/>
        <rFont val="Helvetica Neue"/>
      </rPr>
      <t xml:space="preserve"> 2 Planos de refinação (emissões de poluentes atmosféricos resultantes da combustão em caldeiras e fornos) -&gt; apenas as emissões resultantes da combustão em caldeiras e fornos estão incluídas neste sector de fontes (não contar as emissões fugitivas de processo, incluindo as emissões de combustão); </t>
    </r>
    <r>
      <rPr>
        <b/>
        <sz val="12"/>
        <color rgb="FF000000"/>
        <rFont val="Helvetica Neue"/>
      </rPr>
      <t>Fabrico de combustíveis sólidos e outras indústrias energéticas</t>
    </r>
  </si>
  <si>
    <t>Indústrias produtoras e construção</t>
  </si>
  <si>
    <t>Ferro e Aço</t>
  </si>
  <si>
    <t>National Inventory Report - 2020 Portugal, made by APA (page 96)</t>
  </si>
  <si>
    <t>Fabrico e fundição de ferro e aço</t>
  </si>
  <si>
    <t>Produtos Químicos</t>
  </si>
  <si>
    <t>Fabrico de produtos químicos e produtos químicos</t>
  </si>
  <si>
    <t>Pasta de papel, Papel e Impressões</t>
  </si>
  <si>
    <t>Fabrico de papel e produtos de papel e impressão; 8 fábricas de pasta de papel que existiam em Portugal de 1990 a 2018 (seis fábricas Kraft e duas fábricas menores de bissulfito), mas também unidades menores dedicadas a produção de papel.</t>
  </si>
  <si>
    <t>Processamento de alimentos, bebidas e tabaco</t>
  </si>
  <si>
    <t>Fabrico de produtos alimentares, bebidas e produtos do tabaco</t>
  </si>
  <si>
    <t>Minerais Não-Metálicos</t>
  </si>
  <si>
    <t>Fabrico de produtos tais como vidro, cerâmica, cimento, etc.</t>
  </si>
  <si>
    <t>Outros (principalmente têxteis e couro)</t>
  </si>
  <si>
    <t>Fabrico de produtos e máquinas metálicas
Fabrico de veículos automóveis e outros equipamentos de transporte
Fabrico de madeira e produtos de madeira Fabrico de têxteis, couro e calçado
Fabrico de produtos de borracha Mineração de minérios metálicos e outras minas e pedreiras Offroad e outras máquinas móveis na indústria Construção
Na subcategoria Outras Indústrias, o sector da Indústria Têxtil e do Couro (1.A.2.g.vi) destaca-se como o principal responsável pelas emissões de GEE.</t>
  </si>
  <si>
    <t>Transportes</t>
  </si>
  <si>
    <t>Aviação doméstica</t>
  </si>
  <si>
    <t>National Inventory Report - 2020 Portugal, made by APA  (page 126)</t>
  </si>
  <si>
    <r>
      <t>Emissões do tráfego doméstico civil de passageiros e de carga que parte e chega ao mesmo país (comercial, privado, agrícola, etc.), incluindo descolagens e aterragens para estas fases de voo.</t>
    </r>
    <r>
      <rPr>
        <i/>
        <sz val="11"/>
        <color rgb="FF000000"/>
        <rFont val="Helvetica Neue"/>
      </rPr>
      <t xml:space="preserve"> Emissões do Ciclo de Aterragem e Descolagem (LTOCycle). Emissões de actividades realizadas perto do aeroporto no solo e em voo sob uma altitude de 3000 pés (914 m): inactivo, taxi-in, taxi-out, descolagem, escalada e descida;</t>
    </r>
  </si>
  <si>
    <t>Aviação militar</t>
  </si>
  <si>
    <t>National Inventory Report - 2020 Portugal, made by APA (pages 67,177 )</t>
  </si>
  <si>
    <t>Para a aviação militar, partiu-se do princípio de que todo o combustível para aviões a jacto reportado na categoria "serviços" do balanço energético nacional era utilizado para a aviação militar, uma vez que o combustível para aviões a jacto podia ser considerado como um combustível específico da aviação.</t>
  </si>
  <si>
    <t>Aviação internacional</t>
  </si>
  <si>
    <t>National Inventory Report - 2020 Portugal, made by APA (page 126)</t>
  </si>
  <si>
    <r>
      <t>Emissões não incluídas nos totais nacionais do Relatório de Inventário Nacional; Emissões de voos que partem de um país e chegam a um país diferente. Incluem descolagens e aterragens para estas etapas de voo.</t>
    </r>
    <r>
      <rPr>
        <i/>
        <sz val="11"/>
        <color rgb="FF000000"/>
        <rFont val="Helvetica Neue"/>
      </rPr>
      <t xml:space="preserve"> Emissões do Ciclo de Aterragem e Descolagem (LTOCycle). Emissões de actividades realizadas perto do aeroporto no solo e em voo a uma altitude de 3000 pés (914 m): inactivo, taxi-in, taxi-out, descolagem, escalada e descida;</t>
    </r>
  </si>
  <si>
    <t>Transporte rodoviário</t>
  </si>
  <si>
    <t>National Inventory Report - 2020 Portugal, made by APA  (page 136)</t>
  </si>
  <si>
    <t>inclui emissões de combustivel a biomassa tal como emissões relacionadas com Lubrificantes em 4 tempos e Ureia</t>
  </si>
  <si>
    <t>Ferrovia</t>
  </si>
  <si>
    <t>National Inventory Report - 2020 Portugal, made by APA (page 148)</t>
  </si>
  <si>
    <t>Ferrovia - a combustão estacionária está a ser contada como Comercial/Institucional e não aqui</t>
  </si>
  <si>
    <t>Navegação doméstica por via aquática</t>
  </si>
  <si>
    <t>National Inventory Report - 2020 Portugal, made by APA (page 151)</t>
  </si>
  <si>
    <t>Navegação internacional por via aquática</t>
  </si>
  <si>
    <t>Emissões não incluídas nos totais nacionais do Relatório Nacional do Inventário das Emissões (NIR)</t>
  </si>
  <si>
    <t>Outros</t>
  </si>
  <si>
    <t>Comercial / institucional</t>
  </si>
  <si>
    <t>National Inventory Report - 2020 Portugal, made by APA (pages 159-160)</t>
  </si>
  <si>
    <t>Agrega a combustão estacionária (como a combustão industrial e comercial; combustão do sector público; caminhos-de-ferro - combustão estacionária) e móvel (veículos fora de estrada e outras máquinas como fontes móveis comerciais); As principais fontes de emissões são: i) Combustão de gasóleo e gás natural em actividades comerciais, especialmente em actividades de serviços alimentares e de bebidas - cerca de 33% para aquecimento de água e cozedura; ii) Instalações públicas para aquecimento de espaços - quase 50%; iii) Combustão de combustíveis líquidos em fontes móveis</t>
  </si>
  <si>
    <t>Residencial</t>
  </si>
  <si>
    <t>National Inventory Report - 2020 Portugal, made by APA (pages 159-166)</t>
  </si>
  <si>
    <t>Combustão estacionária (Combustão de lenha e GPL em residências para aquecimento de espaços - cerca de 30% da CE -, aquecimento de água - cerca de 40% da CE - e cozedura - menos de 30% da CE); Maquinaria de casa e jardim (Combustão de combustíveis líquidos em fontes móveis) - realmente baixa; --&gt; A combustão de lenha no setor residencial é responsável por 98% das emissões de CH4 em todos os Outros sectores CE = Consumo de energia
EC = Energy Consumption</t>
  </si>
  <si>
    <t>Agricultura / Florestas / Pesca</t>
  </si>
  <si>
    <t>National Inventory Report - 2020 Portugal, made by APA  (pages 159-166)</t>
  </si>
  <si>
    <t>Agricultura e Pesca combustão estacionária (Combustão de gasóleo para fins de aquecimento); Combustão de gasóleo em tractores e máquinas móveis; Pesca Nacional (Combustão de gasóleo em embarcações de pesca de alto mar e costeira):</t>
  </si>
  <si>
    <t>Agricultura: Uma das principais utilizações finais dos combustíveis fósseis nestes subsectores são as máquinas e tractores agrícolas,  responsável por mais de 40% do consumo de energia. Estas fontes móveis têm uma particular  preponderância na emissão de N2O da subcategoria 1.A.4.c Agricultura / Silvicultura / Pesca.  + O calor é também cerca de 40% do consumo de energia na agricultura</t>
  </si>
  <si>
    <t>Pesca: cerca de 40% da CE para a pesca de profundidade e cerca de 10% da CE para a pesca costeira</t>
  </si>
  <si>
    <t>Emissões fugitivas de combustíveis fósseis</t>
  </si>
  <si>
    <t>National Inventory Report - 2020 Portugal, made by APA (pages 179-203)</t>
  </si>
  <si>
    <r>
      <t>Combustíveis Sólidos: Mineração e Manuseamento de Carvão</t>
    </r>
    <r>
      <rPr>
        <sz val="10"/>
        <color rgb="FF000000"/>
        <rFont val="Helvetica Neue"/>
      </rPr>
      <t xml:space="preserve"> - As estimativas de emissões incluem:</t>
    </r>
    <r>
      <rPr>
        <sz val="10"/>
        <color rgb="FF000000"/>
        <rFont val="Helvetica Neue"/>
      </rPr>
      <t xml:space="preserve">
- Emissões de CO2 e CH4 provenientes da extração de carvão no período de 1990 em diante (exploração mineira); - emissões de CH4 resultantes do processamento do carvão (pós-mina);</t>
    </r>
    <r>
      <rPr>
        <sz val="10"/>
        <color rgb="FF000000"/>
        <rFont val="Helvetica Neue"/>
      </rPr>
      <t xml:space="preserve">
- emissões de CH4 provenientes de minas subterrâneas abandonadas (a partir de 1901).-&gt; 6 em portugal </t>
    </r>
    <r>
      <rPr>
        <b/>
        <sz val="10"/>
        <color rgb="FF000000"/>
        <rFont val="Helvetica Neue"/>
      </rPr>
      <t>Combustíveis sólidos: Transformação de combustíveis sólidos</t>
    </r>
    <r>
      <rPr>
        <sz val="10"/>
        <color rgb="FF000000"/>
        <rFont val="Helvetica Neue"/>
      </rPr>
      <t xml:space="preserve"> - Coque metalúrgico e emissões fugitivas de CH4 da produção de coque na coqueria. --&gt; 52,752 kt Co2eq</t>
    </r>
    <r>
      <rPr>
        <sz val="10"/>
        <color rgb="FF000000"/>
        <rFont val="Helvetica Neue"/>
      </rPr>
      <t xml:space="preserve">
</t>
    </r>
    <r>
      <rPr>
        <b/>
        <sz val="10"/>
        <color rgb="FF000000"/>
        <rFont val="Helvetica Neue"/>
      </rPr>
      <t>Petróleo, gás natural e outras emissões da produção de energia</t>
    </r>
    <r>
      <rPr>
        <sz val="10"/>
        <color rgb="FF000000"/>
        <rFont val="Helvetica Neue"/>
      </rPr>
      <t xml:space="preserve"> - as emissões fugitivas estão relacionadas com as resultantes da refinação, armazenamento e transporte de petróleo bruto, outras matérias-primas, produtos intermédios e produtos finais - particularmente gasolina - desde a recepção terminal de petróleo bruto e outros produtos petrolíferos até à entrega ao consumidor final. De acordo com as metodologias disponíveis, as emissões atmosféricas consideradas incluem:</t>
    </r>
    <r>
      <rPr>
        <sz val="10"/>
        <color rgb="FF000000"/>
        <rFont val="Helvetica Neue"/>
      </rPr>
      <t xml:space="preserve">
- Terminais Marítimos e água de lastro;</t>
    </r>
    <r>
      <rPr>
        <sz val="10"/>
        <color rgb="FF000000"/>
        <rFont val="Helvetica Neue"/>
      </rPr>
      <t xml:space="preserve">
- Emissões das operações de refinaria, não incluindo as emissões da combustão de combustíveis, tais como: Queima e desgasificação na refinação de petróleo e;</t>
    </r>
    <r>
      <rPr>
        <sz val="10"/>
        <color rgb="FF000000"/>
        <rFont val="Helvetica Neue"/>
      </rPr>
      <t xml:space="preserve">
- Emissões devidas ao armazenamento de matérias-primas, produtos intermédios e produtos finais na refinaria;</t>
    </r>
    <r>
      <rPr>
        <sz val="10"/>
        <color rgb="FF000000"/>
        <rFont val="Helvetica Neue"/>
      </rPr>
      <t xml:space="preserve">
- Emissões provenientes da estação de expedição da refinaria;</t>
    </r>
    <r>
      <rPr>
        <sz val="10"/>
        <color rgb="FF000000"/>
        <rFont val="Helvetica Neue"/>
      </rPr>
      <t xml:space="preserve">
- Emissões provenientes do transporte e distribuição de produtos petrolíferos no território português, incluindo depósitos de transporte e estações de serviço.</t>
    </r>
    <r>
      <rPr>
        <sz val="10"/>
        <color rgb="FF000000"/>
        <rFont val="Helvetica Neue"/>
      </rPr>
      <t xml:space="preserve">
</t>
    </r>
    <r>
      <rPr>
        <b/>
        <sz val="10"/>
        <color rgb="FF000000"/>
        <rFont val="Helvetica Neue"/>
      </rPr>
      <t xml:space="preserve">Emissão fugitiva de Gás Natural </t>
    </r>
    <r>
      <rPr>
        <sz val="10"/>
        <color rgb="FF000000"/>
        <rFont val="Helvetica Neue"/>
      </rPr>
      <t>- transporte, processos de transmissão, processos de armazenamento e distribuição.</t>
    </r>
    <r>
      <rPr>
        <sz val="10"/>
        <color rgb="FF000000"/>
        <rFont val="Helvetica Neue"/>
      </rPr>
      <t xml:space="preserve">
</t>
    </r>
    <r>
      <rPr>
        <b/>
        <sz val="10"/>
        <color rgb="FF000000"/>
        <rFont val="Helvetica Neue"/>
      </rPr>
      <t>Queima de petróleo na Indústria Petrolífera
Outras Emissões Fugitivas (Produção Geotérmica de Electricidade)</t>
    </r>
  </si>
  <si>
    <t>PROCESSOS INDUSTRIAIS E UTILIZAÇÃO DE PRODUTOS</t>
  </si>
  <si>
    <t>Maioritariamente CO2 e F-Gas</t>
  </si>
  <si>
    <t>Indústria Mineira</t>
  </si>
  <si>
    <t>National Inventory Report - 2020 Portugal, made by APA (page 221)</t>
  </si>
  <si>
    <r>
      <t xml:space="preserve">emissões que resultam da utilização de matérias-primas carbonatadas na produção e utilização de uma variedade de produtos da indústria mineral. Produção de cimento </t>
    </r>
    <r>
      <rPr>
        <b/>
        <sz val="12"/>
        <color rgb="FF000000"/>
        <rFont val="Helvetica Neue"/>
      </rPr>
      <t>(6 fábricas de cimento)</t>
    </r>
    <r>
      <rPr>
        <sz val="11"/>
        <color rgb="FF000000"/>
        <rFont val="Helvetica Neue"/>
      </rPr>
      <t xml:space="preserve">; Produção de cal em fábricas dedicadas </t>
    </r>
    <r>
      <rPr>
        <b/>
        <sz val="12"/>
        <color rgb="FF000000"/>
        <rFont val="Helvetica Neue"/>
      </rPr>
      <t>(6 fábricas de cal)</t>
    </r>
    <r>
      <rPr>
        <sz val="11"/>
        <color rgb="FF000000"/>
        <rFont val="Helvetica Neue"/>
      </rPr>
      <t>; Produção de cal em ferro e aço (Existem duas fábricas de ferro e aço em Portugal); Produção de cal em pasta de papel;</t>
    </r>
  </si>
  <si>
    <t>Indústria Química</t>
  </si>
  <si>
    <r>
      <t>emissões de GEE relacionadas nos processos que resultam da produção de várias substâncias químicas inorgânicas e orgânicas: Produção de amónia (nenhuma em Portugal, relocalizada para a Índia); Produção de ácido nítrico -</t>
    </r>
    <r>
      <rPr>
        <b/>
        <sz val="12"/>
        <color rgb="FF000000"/>
        <rFont val="Helvetica Neue"/>
      </rPr>
      <t xml:space="preserve"> 3 fábricas localizadas em Estarreja, Alverca e Lavradio</t>
    </r>
    <r>
      <rPr>
        <sz val="11"/>
        <color rgb="FF000000"/>
        <rFont val="Helvetica Neue"/>
      </rPr>
      <t xml:space="preserve">; Produção petroquímica e de Carbon Black? - Etileno - </t>
    </r>
    <r>
      <rPr>
        <b/>
        <sz val="12"/>
        <color rgb="FF000000"/>
        <rFont val="Helvetica Neue"/>
      </rPr>
      <t xml:space="preserve">uma fábrica de etileno </t>
    </r>
    <r>
      <rPr>
        <sz val="11"/>
        <color rgb="FF000000"/>
        <rFont val="Helvetica Neue"/>
      </rPr>
      <t>em Portugal localizada na parte sul do país, perto de Sines;</t>
    </r>
  </si>
  <si>
    <t>Indústria Metalúrgica</t>
  </si>
  <si>
    <r>
      <t xml:space="preserve">Produção de aço e ferro - </t>
    </r>
    <r>
      <rPr>
        <b/>
        <sz val="10"/>
        <color rgb="FF000000"/>
        <rFont val="Helvetica Neue"/>
      </rPr>
      <t>2 instalações siderúrgicas</t>
    </r>
  </si>
  <si>
    <t>Produtos não energéticos provenientes de combustíveis e utilização de solventes</t>
  </si>
  <si>
    <r>
      <t xml:space="preserve">emissões de GEE relacionadas com o processo que resultam da primeira utilização de combustíveis fósseis como produto para fins primários que não a combustão para fins energéticos e a utilização como matéria-prima ou agente redutor. As emissões provenientes destas excepções são contabilizadas na indústria química e na indústria metalúrgica. Os produtos abrangidos neste capítulo compreendem lubrificantes, ceras parafínicas, betumes/asftalinas, e solventes. </t>
    </r>
    <r>
      <rPr>
        <b/>
        <sz val="12"/>
        <color rgb="FF000000"/>
        <rFont val="Helvetica Neue"/>
      </rPr>
      <t xml:space="preserve">Utilização de lubrificantes </t>
    </r>
    <r>
      <rPr>
        <sz val="11"/>
        <color rgb="FF000000"/>
        <rFont val="Helvetica Neue"/>
      </rPr>
      <t xml:space="preserve">-&gt; as utilizações mais relevantes são o transporte rodoviário, indústrias transformadoras, agricultura e serviços. </t>
    </r>
    <r>
      <rPr>
        <b/>
        <sz val="12"/>
        <color rgb="FF000000"/>
        <rFont val="Helvetica Neue"/>
      </rPr>
      <t>Utilização de cera parafínica</t>
    </r>
    <r>
      <rPr>
        <sz val="11"/>
        <color rgb="FF000000"/>
        <rFont val="Helvetica Neue"/>
      </rPr>
      <t xml:space="preserve"> -&gt; os sectores mais relevantes são a indústria química/plástica, produtos de madeira, indústria da borracha, indústria metalúrgica e indústria do papel. </t>
    </r>
    <r>
      <rPr>
        <b/>
        <sz val="12"/>
        <color rgb="FF000000"/>
        <rFont val="Helvetica Neue"/>
      </rPr>
      <t>Utilização de Solventes; emissões ocorridas em pavimentos de estradas com materiais asfálticos, bem como emissões ocorridas durante o funcionamento de fábricas de misturas asfálticas a quente;</t>
    </r>
  </si>
  <si>
    <t>Indústria Electrónica</t>
  </si>
  <si>
    <t>não estimado</t>
  </si>
  <si>
    <t>National Inventory Report - 2020 Portugal, made by APA (page 296)</t>
  </si>
  <si>
    <t>Fabrico e utilização de outros produtos</t>
  </si>
  <si>
    <r>
      <t xml:space="preserve">Fabrico de Equipamento Eléctrico -&gt; </t>
    </r>
    <r>
      <rPr>
        <sz val="11"/>
        <color rgb="FF000000"/>
        <rFont val="Helvetica Neue"/>
      </rPr>
      <t xml:space="preserve">não apresentam valores e número de infrastruturas devido a razões confidenciais; </t>
    </r>
    <r>
      <rPr>
        <b/>
        <sz val="12"/>
        <color rgb="FF000000"/>
        <rFont val="Helvetica Neue"/>
      </rPr>
      <t>Utilização de Equipamento Eléctrico -&gt;</t>
    </r>
    <r>
      <rPr>
        <sz val="11"/>
        <color rgb="FF000000"/>
        <rFont val="Helvetica Neue"/>
      </rPr>
      <t xml:space="preserve"> hexafluoreto de enxofre (SF6) é utilizado no sector eléctrico, tanto como gás de isolamento em subestações como meio de interrupção de corrente, principalmente em interruptores e em disjuntores. Enquanto a maioria do gás é recuperado à disposição do equipamento, as emissões ocorrem anualmente como consequência de fugas e falhas no equipamento. valores e empresas na pag 332- 338; </t>
    </r>
    <r>
      <rPr>
        <b/>
        <sz val="12"/>
        <color rgb="FF000000"/>
        <rFont val="Helvetica Neue"/>
      </rPr>
      <t>N2O de Utilização do Produto - Aplicação Médica</t>
    </r>
  </si>
  <si>
    <t>Uso de produtos como substitutos de SDO (Substâncias Destruidoras de Ozono)</t>
  </si>
  <si>
    <t>Ar condicionado estacionário (40%), Refrigeração comercial (34%), Ar condicionado móvel (28%); Refrigeração doméstica (3%); Refrigeração de transporte (2%); Refrigeração industrial (1%); Sopro de espuma (1%); Protecção contra incêndio 2% inaladores doseados &lt;1% outros areossóis &lt;1%</t>
  </si>
  <si>
    <t>AGRICULTURA</t>
  </si>
  <si>
    <t>Maioritariamente CH4 &amp; N2O</t>
  </si>
  <si>
    <t>Fermentação Entérica</t>
  </si>
  <si>
    <t>National Inventory Report - 2020 Portugal, made by APA (page 352)</t>
  </si>
  <si>
    <t>Gado Leiteiro</t>
  </si>
  <si>
    <t>National Inventory Report - 2020 Portugal, made by APA (page 357)</t>
  </si>
  <si>
    <t>População: 240k</t>
  </si>
  <si>
    <t>Gado Não-Leiteiro</t>
  </si>
  <si>
    <t>População: 1420k</t>
  </si>
  <si>
    <t>Gado Ovino</t>
  </si>
  <si>
    <t>População: 2230k</t>
  </si>
  <si>
    <t>Suínos</t>
  </si>
  <si>
    <t>População: 2170k</t>
  </si>
  <si>
    <t>Cavalos, Mulas, Jumentos e Coelhos</t>
  </si>
  <si>
    <t>Gado Caprino</t>
  </si>
  <si>
    <t>População: 340k</t>
  </si>
  <si>
    <t>Manure Management</t>
  </si>
  <si>
    <t>National Inventory Report - 2020 Portugal, made by APA (pages 373, 387)</t>
  </si>
  <si>
    <t>Aves de Capoeira</t>
  </si>
  <si>
    <t>População: 36000k</t>
  </si>
  <si>
    <t>Cultivo de Arroz</t>
  </si>
  <si>
    <t>Gestão de Solos Agrícolas</t>
  </si>
  <si>
    <t>Direta</t>
  </si>
  <si>
    <t>National Inventory Report - 2020 Portugal, made by APA (page 398)</t>
  </si>
  <si>
    <t>- Fertilizantes sintéticos = 1,58 kt (27%)
- Fertilizantes orgânicos = 0,68 kt (11%)
- Urina e estrume depositados por animais de pasto = 2,97 kt (51%)
- Resíduos de culturas = 0,6 kt (10%)</t>
  </si>
  <si>
    <t>Indireta</t>
  </si>
  <si>
    <t>volatilização e lixiviação</t>
  </si>
  <si>
    <t>Queima de resíduos de colheitas no campo</t>
  </si>
  <si>
    <t>Calagem</t>
  </si>
  <si>
    <t>Aplicação de Ureia</t>
  </si>
  <si>
    <t>RESÍDUOS</t>
  </si>
  <si>
    <t>Os resíduos constituem 48% do total de CH4 - 0,6 Mt CO2e das emissões das Indústrias Energéticas provêm da Incineração de Resíduos Sólidos Municipais, não contabilizados aqui -&gt; A incineração de resíduos sólidos urbanos (RSU) ocorre em três unidades modernas onde a energia é recuperada, e assim, de acordo com as Directrizes do IPCC, estas emissões são contabilizadas no sector energético (subcategoria 1A(a) Produção pública de electricidade e calor). A incineração de outros resíduos, tais como resíduos clínicos ou industriais que ocorrem sem recuperação de energia, é assim atribuída ao sector dos resíduos.</t>
  </si>
  <si>
    <t>Eliminação de Resíduos Sólidos</t>
  </si>
  <si>
    <t>Eliminação de resíduos sólidos</t>
  </si>
  <si>
    <t>National Inventory Report - 2020 Portugal, made by APA (page 493)</t>
  </si>
  <si>
    <t>Lixo sólido municipal - locais de eliminação  geridos</t>
  </si>
  <si>
    <t>National Inventory Report - 2020 Portugal, made by APA (page 500)</t>
  </si>
  <si>
    <t>ver as percentagens de diferentes materiais (alimentos, madeira, têxteis, etc.) na página 504 tabela 7-5</t>
  </si>
  <si>
    <t>Lixo sólido municipal - locais de eliminação não geridos</t>
  </si>
  <si>
    <t>Resíduos sólidos industriais - locais de eliminação geridos</t>
  </si>
  <si>
    <t>ver as percentagens para cada sector industrial na página 506 tabela 7-6</t>
  </si>
  <si>
    <t>Resíduos sólidos industriais - locais de eliminação não geridos</t>
  </si>
  <si>
    <t>Tratamento biológico de resíduos sólidos</t>
  </si>
  <si>
    <t>compostagem e digestão anaeróbica dos resíduos orgânicos urbanos. As emissões da compostagem doméstica não estão incluídas, uma vez que não existem dados fiáveis sobre esta actividade.</t>
  </si>
  <si>
    <t>Incineração de resíduos (sem recuperação de energia)</t>
  </si>
  <si>
    <t>combustão de resíduos municipais, clínicos e industriais. A incineração de resíduos sólidos urbanos (RSU) tem lugar em três unidades modernas onde a energia é recuperada (não contada aqui);</t>
  </si>
  <si>
    <t>Incineração de resíduos sólidos industriais</t>
  </si>
  <si>
    <t>National Inventory Report - 2020 Portugal, made by (page 513)</t>
  </si>
  <si>
    <t>Incineração de resíduos clínicos</t>
  </si>
  <si>
    <t>Tratamento de águas residuais</t>
  </si>
  <si>
    <t>"Os processos de tratamento de águas residuais podem produzir CH4 quando tratados ou eliminados por via anaeróbia, e N2O. As emissões de CO2 das águas residuais não são consideradas como sendo de origem biogénica e não devem ser incluídas no total nacional de emissões".</t>
  </si>
  <si>
    <t>Outros (queima de biogás)</t>
  </si>
  <si>
    <t>A captação e queima de gás de aterro e biogás (por exemplo, de lamas de depuração) é utilizada para fins energéticos ou de queima (sem recuperação de energia).</t>
  </si>
  <si>
    <t>Incineração de resíduos (com recuperação de energia)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</si>
</sst>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3">
    <font>
      <sz val="11"/>
      <color rgb="FF000000"/>
      <name val="Helvetica Neue"/>
    </font>
    <font>
      <sz val="11"/>
      <color rgb="FF000000"/>
      <name val="Helvetica Neue"/>
    </font>
    <font>
      <b/>
      <sz val="10"/>
      <color rgb="FF000000"/>
      <name val="Helvetica Neue"/>
    </font>
    <font>
      <sz val="10"/>
      <color rgb="FFFFFFFF"/>
      <name val="Helvetica Neue"/>
    </font>
    <font>
      <sz val="10"/>
      <color rgb="FFCC0000"/>
      <name val="Helvetica Neue"/>
    </font>
    <font>
      <b/>
      <sz val="10"/>
      <color rgb="FFFFFFFF"/>
      <name val="Helvetica Neue"/>
    </font>
    <font>
      <i/>
      <sz val="10"/>
      <color rgb="FF808080"/>
      <name val="Helvetica Neue"/>
    </font>
    <font>
      <sz val="10"/>
      <color rgb="FF006600"/>
      <name val="Helvetica Neue"/>
    </font>
    <font>
      <b/>
      <sz val="24"/>
      <color rgb="FF000000"/>
      <name val="Helvetica Neue"/>
    </font>
    <font>
      <sz val="18"/>
      <color rgb="FF000000"/>
      <name val="Helvetica Neue"/>
    </font>
    <font>
      <sz val="12"/>
      <color rgb="FF000000"/>
      <name val="Helvetica Neue"/>
    </font>
    <font>
      <u/>
      <sz val="10"/>
      <color rgb="FF0000EE"/>
      <name val="Helvetica Neue"/>
    </font>
    <font>
      <u/>
      <sz val="10"/>
      <color rgb="FF0563C1"/>
      <name val="Helvetica Neue"/>
    </font>
    <font>
      <sz val="10"/>
      <color rgb="FF996600"/>
      <name val="Helvetica Neue"/>
    </font>
    <font>
      <sz val="10"/>
      <color rgb="FF000000"/>
      <name val="Arial"/>
      <family val="2"/>
    </font>
    <font>
      <sz val="10"/>
      <color rgb="FF333333"/>
      <name val="Helvetica Neue"/>
    </font>
    <font>
      <b/>
      <i/>
      <u/>
      <sz val="10"/>
      <color rgb="FF000000"/>
      <name val="Helvetica Neue"/>
    </font>
    <font>
      <sz val="16"/>
      <color rgb="FF000000"/>
      <name val="Helvetica Neue"/>
    </font>
    <font>
      <sz val="14"/>
      <color rgb="FF000000"/>
      <name val="Helvetica Neue"/>
    </font>
    <font>
      <sz val="10"/>
      <color rgb="FF000000"/>
      <name val="Helvetica Neue"/>
    </font>
    <font>
      <i/>
      <sz val="10"/>
      <color rgb="FF000000"/>
      <name val="Helvetica Neue"/>
    </font>
    <font>
      <i/>
      <sz val="10"/>
      <color rgb="FFC9211E"/>
      <name val="Helvetica Neue"/>
    </font>
    <font>
      <i/>
      <sz val="11"/>
      <color rgb="FF000000"/>
      <name val="Helvetica Neue"/>
    </font>
    <font>
      <b/>
      <sz val="12"/>
      <color rgb="FF000000"/>
      <name val="Helvetica Neue"/>
    </font>
    <font>
      <sz val="11"/>
      <color rgb="FFB47804"/>
      <name val="Helvetica Neue"/>
    </font>
    <font>
      <u/>
      <sz val="11"/>
      <color rgb="FFB47804"/>
      <name val="Helvetica Neue"/>
    </font>
    <font>
      <u/>
      <sz val="11"/>
      <color rgb="FF0563C1"/>
      <name val="Helvetica Neue"/>
    </font>
    <font>
      <u/>
      <sz val="11"/>
      <color rgb="FF000000"/>
      <name val="Helvetica Neue"/>
    </font>
    <font>
      <sz val="11"/>
      <color rgb="FFFF0000"/>
      <name val="Helvetica Neue"/>
    </font>
    <font>
      <sz val="11"/>
      <color rgb="FF202124"/>
      <name val="Arial"/>
      <family val="2"/>
    </font>
    <font>
      <outline/>
      <sz val="10"/>
      <color rgb="FF000000"/>
      <name val="Helvetica Neue"/>
    </font>
    <font>
      <u/>
      <sz val="10"/>
      <color rgb="FF0000FF"/>
      <name val="Helvetica Neue"/>
    </font>
    <font>
      <i/>
      <sz val="12"/>
      <color rgb="FF000000"/>
      <name val="Helvetica Neue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EEBF7"/>
        <bgColor rgb="FFDEEBF7"/>
      </patternFill>
    </fill>
    <fill>
      <patternFill patternType="solid">
        <fgColor rgb="FF5E88B1"/>
        <bgColor rgb="FF5E88B1"/>
      </patternFill>
    </fill>
    <fill>
      <patternFill patternType="solid">
        <fgColor rgb="FFEEF3F4"/>
        <bgColor rgb="FFEEF3F4"/>
      </patternFill>
    </fill>
    <fill>
      <patternFill patternType="solid">
        <fgColor rgb="FFBDC0BF"/>
        <bgColor rgb="FFBDC0BF"/>
      </patternFill>
    </fill>
    <fill>
      <patternFill patternType="solid">
        <fgColor rgb="FF56C1FE"/>
        <bgColor rgb="FF56C1FE"/>
      </patternFill>
    </fill>
    <fill>
      <patternFill patternType="solid">
        <fgColor rgb="FFDBDBDB"/>
        <bgColor rgb="FFDBDBDB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88F94E"/>
        <bgColor rgb="FF88F94E"/>
      </patternFill>
    </fill>
    <fill>
      <patternFill patternType="solid">
        <fgColor rgb="FFC8FCAE"/>
        <bgColor rgb="FFC8FCAE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  <fill>
      <patternFill patternType="solid">
        <fgColor rgb="FF00B0F0"/>
        <bgColor rgb="FF00B0F0"/>
      </patternFill>
    </fill>
  </fills>
  <borders count="7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808080"/>
      </bottom>
      <diagonal/>
    </border>
    <border>
      <left style="thin">
        <color rgb="FF3F3F3F"/>
      </left>
      <right style="thin">
        <color rgb="FFA5A5A5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A5A5A5"/>
      </right>
      <top style="thin">
        <color rgb="FF808080"/>
      </top>
      <bottom/>
      <diagonal/>
    </border>
    <border>
      <left style="thin">
        <color rgb="FF3F3F3F"/>
      </left>
      <right style="thin">
        <color rgb="FFA5A5A5"/>
      </right>
      <top style="thin">
        <color rgb="FF80808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808080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/>
      <bottom/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000000"/>
      </bottom>
      <diagonal/>
    </border>
    <border>
      <left style="thin">
        <color rgb="FFA5A5A5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BFBFBF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A5A5A5"/>
      </top>
      <bottom/>
      <diagonal/>
    </border>
    <border>
      <left style="thin">
        <color rgb="FFBFBFBF"/>
      </left>
      <right style="thin">
        <color rgb="FFBFBFBF"/>
      </right>
      <top style="thin">
        <color rgb="FFA5A5A5"/>
      </top>
      <bottom/>
      <diagonal/>
    </border>
    <border>
      <left style="thin">
        <color rgb="FFBFBFBF"/>
      </left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/>
      <diagonal/>
    </border>
    <border>
      <left style="thin">
        <color rgb="FFA5A5A5"/>
      </left>
      <right style="thin">
        <color rgb="FF000000"/>
      </right>
      <top style="thin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3F3F3F"/>
      </top>
      <bottom style="thin">
        <color rgb="FFA5A5A5"/>
      </bottom>
      <diagonal/>
    </border>
    <border>
      <left style="thin">
        <color rgb="FF3F3F3F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3F3F3F"/>
      </left>
      <right style="thin">
        <color rgb="FF000000"/>
      </right>
      <top style="thin">
        <color rgb="FF000000"/>
      </top>
      <bottom style="thin">
        <color rgb="FFA5A5A5"/>
      </bottom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 style="thin">
        <color rgb="FFA5A5A5"/>
      </right>
      <top/>
      <bottom/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80808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808080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 style="thin">
        <color rgb="FFA5A5A5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/>
      <right style="thin">
        <color rgb="FFA5A5A5"/>
      </right>
      <top style="thin">
        <color rgb="FF000000"/>
      </top>
      <bottom/>
      <diagonal/>
    </border>
    <border>
      <left/>
      <right style="thin">
        <color rgb="FF3F3F3F"/>
      </right>
      <top/>
      <bottom style="thin">
        <color rgb="FF000000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/>
      <diagonal/>
    </border>
    <border>
      <left style="thin">
        <color rgb="FF3F3F3F"/>
      </left>
      <right style="thin">
        <color rgb="FFA5A5A5"/>
      </right>
      <top/>
      <bottom/>
      <diagonal/>
    </border>
    <border>
      <left style="thin">
        <color rgb="FF3F3F3F"/>
      </left>
      <right style="thin">
        <color rgb="FFA5A5A5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808080"/>
      </top>
      <bottom style="thin">
        <color rgb="FF808080"/>
      </bottom>
      <diagonal/>
    </border>
    <border>
      <left/>
      <right style="thin">
        <color rgb="FFA5A5A5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A5A5A5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A5A5A5"/>
      </right>
      <top style="thin">
        <color rgb="FF808080"/>
      </top>
      <bottom style="thin">
        <color rgb="FF808080"/>
      </bottom>
      <diagonal/>
    </border>
    <border>
      <left style="thin">
        <color rgb="FFA5A5A5"/>
      </left>
      <right style="thin">
        <color rgb="FFA5A5A5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A5A5A5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/>
      <diagonal/>
    </border>
  </borders>
  <cellStyleXfs count="43">
    <xf numFmtId="0" fontId="0" fillId="0" borderId="0">
      <alignment vertical="top" wrapText="1"/>
    </xf>
    <xf numFmtId="0" fontId="9" fillId="0" borderId="0">
      <alignment vertical="top" wrapText="1"/>
    </xf>
    <xf numFmtId="0" fontId="10" fillId="0" borderId="0">
      <alignment vertical="top" wrapText="1"/>
    </xf>
    <xf numFmtId="0" fontId="7" fillId="7" borderId="0">
      <alignment vertical="top" wrapText="1"/>
    </xf>
    <xf numFmtId="0" fontId="4" fillId="5" borderId="0">
      <alignment vertical="top" wrapText="1"/>
    </xf>
    <xf numFmtId="0" fontId="13" fillId="8" borderId="0">
      <alignment vertical="top" wrapText="1"/>
    </xf>
    <xf numFmtId="0" fontId="15" fillId="8" borderId="1">
      <alignment vertical="top" wrapText="1"/>
    </xf>
    <xf numFmtId="0" fontId="2" fillId="0" borderId="0">
      <alignment vertical="top" wrapText="1"/>
    </xf>
    <xf numFmtId="0" fontId="3" fillId="2" borderId="0">
      <alignment vertical="top" wrapText="1"/>
    </xf>
    <xf numFmtId="0" fontId="3" fillId="2" borderId="0">
      <alignment vertical="top" wrapText="1"/>
    </xf>
    <xf numFmtId="0" fontId="3" fillId="2" borderId="0">
      <alignment vertical="top" wrapText="1"/>
    </xf>
    <xf numFmtId="0" fontId="3" fillId="3" borderId="0">
      <alignment vertical="top" wrapText="1"/>
    </xf>
    <xf numFmtId="0" fontId="3" fillId="3" borderId="0">
      <alignment vertical="top" wrapText="1"/>
    </xf>
    <xf numFmtId="0" fontId="3" fillId="3" borderId="0">
      <alignment vertical="top" wrapText="1"/>
    </xf>
    <xf numFmtId="0" fontId="2" fillId="4" borderId="0">
      <alignment vertical="top" wrapText="1"/>
    </xf>
    <xf numFmtId="0" fontId="1" fillId="4" borderId="0">
      <alignment vertical="top" wrapText="1"/>
    </xf>
    <xf numFmtId="0" fontId="2" fillId="4" borderId="0">
      <alignment vertical="top" wrapText="1"/>
    </xf>
    <xf numFmtId="0" fontId="2" fillId="0" borderId="0">
      <alignment vertical="top" wrapText="1"/>
    </xf>
    <xf numFmtId="0" fontId="2" fillId="0" borderId="0">
      <alignment vertical="top" wrapText="1"/>
    </xf>
    <xf numFmtId="0" fontId="5" fillId="6" borderId="0">
      <alignment vertical="top" wrapText="1"/>
    </xf>
    <xf numFmtId="0" fontId="5" fillId="6" borderId="0">
      <alignment vertical="top" wrapText="1"/>
    </xf>
    <xf numFmtId="0" fontId="5" fillId="6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11" fillId="0" borderId="0">
      <alignment vertical="top" wrapText="1"/>
    </xf>
    <xf numFmtId="0" fontId="12" fillId="0" borderId="0">
      <alignment vertical="top" wrapText="1"/>
    </xf>
    <xf numFmtId="0" fontId="11" fillId="0" borderId="0">
      <alignment vertical="top" wrapText="1"/>
    </xf>
    <xf numFmtId="0" fontId="14" fillId="0" borderId="0">
      <alignment wrapText="1"/>
    </xf>
    <xf numFmtId="0" fontId="14" fillId="0" borderId="0">
      <alignment wrapText="1"/>
    </xf>
    <xf numFmtId="0" fontId="16" fillId="0" borderId="0">
      <alignment vertical="top" wrapText="1"/>
    </xf>
    <xf numFmtId="0" fontId="16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</cellStyleXfs>
  <cellXfs count="278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10" fillId="11" borderId="0" xfId="0" applyFont="1" applyFill="1" applyAlignment="1">
      <alignment horizontal="left" vertical="center" wrapText="1"/>
    </xf>
    <xf numFmtId="0" fontId="0" fillId="11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left" vertical="top" wrapText="1"/>
    </xf>
    <xf numFmtId="0" fontId="10" fillId="11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7" fillId="9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>
      <alignment vertical="top" wrapText="1"/>
    </xf>
    <xf numFmtId="0" fontId="2" fillId="14" borderId="5" xfId="0" applyFont="1" applyFill="1" applyBorder="1" applyAlignment="1">
      <alignment vertical="top" wrapText="1"/>
    </xf>
    <xf numFmtId="49" fontId="19" fillId="15" borderId="6" xfId="0" applyNumberFormat="1" applyFont="1" applyFill="1" applyBorder="1" applyAlignment="1">
      <alignment horizontal="center" vertical="center" wrapText="1"/>
    </xf>
    <xf numFmtId="49" fontId="19" fillId="15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49" fontId="19" fillId="16" borderId="7" xfId="0" applyNumberFormat="1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0" fontId="20" fillId="0" borderId="4" xfId="0" applyFont="1" applyBorder="1" applyAlignment="1">
      <alignment vertical="top" wrapText="1"/>
    </xf>
    <xf numFmtId="49" fontId="19" fillId="16" borderId="8" xfId="0" applyNumberFormat="1" applyFont="1" applyFill="1" applyBorder="1" applyAlignment="1">
      <alignment horizontal="center" vertical="center" wrapText="1"/>
    </xf>
    <xf numFmtId="49" fontId="19" fillId="16" borderId="0" xfId="0" applyNumberFormat="1" applyFont="1" applyFill="1" applyBorder="1" applyAlignment="1">
      <alignment horizontal="center" vertical="center" wrapText="1"/>
    </xf>
    <xf numFmtId="49" fontId="19" fillId="16" borderId="9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19" fillId="16" borderId="10" xfId="0" applyFont="1" applyFill="1" applyBorder="1" applyAlignment="1">
      <alignment horizontal="center" vertical="center" wrapText="1"/>
    </xf>
    <xf numFmtId="49" fontId="19" fillId="16" borderId="6" xfId="0" applyNumberFormat="1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vertical="top" wrapText="1"/>
    </xf>
    <xf numFmtId="49" fontId="19" fillId="16" borderId="12" xfId="0" applyNumberFormat="1" applyFont="1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14" borderId="15" xfId="0" applyFont="1" applyFill="1" applyBorder="1" applyAlignment="1">
      <alignment vertical="top" wrapText="1"/>
    </xf>
    <xf numFmtId="0" fontId="0" fillId="18" borderId="17" xfId="0" applyFill="1" applyBorder="1" applyAlignment="1">
      <alignment vertical="top" wrapText="1"/>
    </xf>
    <xf numFmtId="49" fontId="19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Font="1" applyFill="1" applyBorder="1" applyAlignment="1">
      <alignment horizontal="right" vertical="center"/>
    </xf>
    <xf numFmtId="49" fontId="2" fillId="1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13" borderId="4" xfId="0" applyFill="1" applyBorder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top" wrapText="1"/>
    </xf>
    <xf numFmtId="49" fontId="19" fillId="0" borderId="16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9" fillId="19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24" fillId="20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164" fontId="24" fillId="0" borderId="4" xfId="0" applyNumberFormat="1" applyFont="1" applyBorder="1" applyAlignment="1">
      <alignment horizontal="right" vertical="center" wrapText="1"/>
    </xf>
    <xf numFmtId="2" fontId="24" fillId="0" borderId="4" xfId="0" applyNumberFormat="1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5" fillId="0" borderId="4" xfId="28" applyFont="1" applyFill="1" applyBorder="1" applyAlignment="1" applyProtection="1">
      <alignment vertical="top" wrapText="1"/>
    </xf>
    <xf numFmtId="0" fontId="24" fillId="0" borderId="0" xfId="0" applyFont="1" applyAlignment="1">
      <alignment vertical="top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vertical="top" wrapText="1"/>
    </xf>
    <xf numFmtId="0" fontId="26" fillId="0" borderId="4" xfId="28" applyFont="1" applyFill="1" applyBorder="1" applyAlignment="1" applyProtection="1">
      <alignment vertical="top" wrapText="1"/>
    </xf>
    <xf numFmtId="0" fontId="0" fillId="20" borderId="4" xfId="0" applyFill="1" applyBorder="1" applyAlignment="1">
      <alignment horizontal="left" vertical="center" wrapText="1"/>
    </xf>
    <xf numFmtId="0" fontId="11" fillId="0" borderId="0" xfId="29" applyFont="1" applyFill="1" applyAlignment="1" applyProtection="1">
      <alignment vertical="top" wrapText="1"/>
    </xf>
    <xf numFmtId="0" fontId="11" fillId="0" borderId="4" xfId="29" applyFont="1" applyFill="1" applyBorder="1" applyAlignment="1" applyProtection="1">
      <alignment vertical="top" wrapText="1"/>
    </xf>
    <xf numFmtId="0" fontId="26" fillId="0" borderId="0" xfId="28" applyFont="1" applyFill="1" applyAlignment="1" applyProtection="1">
      <alignment vertical="top" wrapText="1"/>
    </xf>
    <xf numFmtId="0" fontId="0" fillId="0" borderId="4" xfId="31" applyFont="1" applyFill="1" applyBorder="1" applyAlignment="1" applyProtection="1">
      <alignment horizontal="left" vertical="center" wrapText="1"/>
    </xf>
    <xf numFmtId="164" fontId="0" fillId="0" borderId="4" xfId="31" applyNumberFormat="1" applyFont="1" applyFill="1" applyBorder="1" applyAlignment="1" applyProtection="1">
      <alignment horizontal="right" vertical="center" wrapText="1"/>
    </xf>
    <xf numFmtId="0" fontId="27" fillId="0" borderId="4" xfId="28" applyFont="1" applyFill="1" applyBorder="1" applyAlignment="1" applyProtection="1">
      <alignment vertical="top" wrapText="1"/>
    </xf>
    <xf numFmtId="0" fontId="27" fillId="0" borderId="0" xfId="28" applyFont="1" applyFill="1" applyAlignment="1" applyProtection="1">
      <alignment vertical="top" wrapText="1"/>
    </xf>
    <xf numFmtId="0" fontId="12" fillId="0" borderId="4" xfId="28" applyFont="1" applyFill="1" applyBorder="1" applyAlignment="1" applyProtection="1">
      <alignment vertical="top" wrapText="1"/>
    </xf>
    <xf numFmtId="0" fontId="27" fillId="0" borderId="4" xfId="28" applyFont="1" applyFill="1" applyBorder="1" applyAlignment="1" applyProtection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4" fontId="0" fillId="0" borderId="22" xfId="0" applyNumberFormat="1" applyBorder="1" applyAlignment="1">
      <alignment horizontal="right" vertical="center" wrapText="1"/>
    </xf>
    <xf numFmtId="0" fontId="0" fillId="0" borderId="22" xfId="31" applyFont="1" applyFill="1" applyBorder="1" applyAlignment="1" applyProtection="1">
      <alignment horizontal="left" vertical="center" wrapText="1"/>
    </xf>
    <xf numFmtId="0" fontId="0" fillId="20" borderId="22" xfId="0" applyFill="1" applyBorder="1" applyAlignment="1">
      <alignment horizontal="left" vertical="center" wrapText="1"/>
    </xf>
    <xf numFmtId="164" fontId="0" fillId="0" borderId="22" xfId="31" applyNumberFormat="1" applyFont="1" applyFill="1" applyBorder="1" applyAlignment="1" applyProtection="1">
      <alignment horizontal="right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31" applyFont="1" applyFill="1" applyBorder="1" applyAlignment="1" applyProtection="1">
      <alignment horizontal="left" vertical="center" wrapText="1"/>
    </xf>
    <xf numFmtId="164" fontId="0" fillId="0" borderId="23" xfId="31" applyNumberFormat="1" applyFont="1" applyFill="1" applyBorder="1" applyAlignment="1" applyProtection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>
      <alignment vertical="top" wrapText="1"/>
    </xf>
    <xf numFmtId="165" fontId="0" fillId="0" borderId="4" xfId="0" applyNumberFormat="1" applyBorder="1" applyAlignment="1">
      <alignment vertical="top" wrapText="1"/>
    </xf>
    <xf numFmtId="164" fontId="0" fillId="0" borderId="23" xfId="0" applyNumberForma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31" applyFont="1" applyFill="1" applyAlignment="1" applyProtection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3" fillId="21" borderId="24" xfId="0" applyFont="1" applyFill="1" applyBorder="1" applyAlignment="1">
      <alignment vertical="top" wrapText="1"/>
    </xf>
    <xf numFmtId="0" fontId="0" fillId="21" borderId="24" xfId="0" applyFill="1" applyBorder="1" applyAlignment="1">
      <alignment vertical="top" wrapText="1"/>
    </xf>
    <xf numFmtId="164" fontId="23" fillId="21" borderId="24" xfId="0" applyNumberFormat="1" applyFont="1" applyFill="1" applyBorder="1" applyAlignment="1">
      <alignment horizontal="right" vertical="top" wrapText="1"/>
    </xf>
    <xf numFmtId="2" fontId="23" fillId="21" borderId="24" xfId="0" applyNumberFormat="1" applyFont="1" applyFill="1" applyBorder="1" applyAlignment="1">
      <alignment vertical="top" wrapText="1"/>
    </xf>
    <xf numFmtId="0" fontId="0" fillId="21" borderId="4" xfId="0" applyFill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0" fillId="21" borderId="27" xfId="0" applyFill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22" xfId="0" applyNumberForma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0" fillId="0" borderId="21" xfId="0" applyFont="1" applyFill="1" applyBorder="1" applyAlignment="1">
      <alignment horizontal="right" vertical="center"/>
    </xf>
    <xf numFmtId="49" fontId="23" fillId="12" borderId="2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19" fillId="19" borderId="4" xfId="0" applyNumberFormat="1" applyFont="1" applyFill="1" applyBorder="1" applyAlignment="1">
      <alignment horizontal="center" vertical="center" wrapText="1"/>
    </xf>
    <xf numFmtId="0" fontId="10" fillId="21" borderId="26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9" fillId="19" borderId="28" xfId="0" applyNumberFormat="1" applyFont="1" applyFill="1" applyBorder="1" applyAlignment="1">
      <alignment horizontal="center" vertical="center" wrapText="1"/>
    </xf>
    <xf numFmtId="49" fontId="19" fillId="19" borderId="29" xfId="0" applyNumberFormat="1" applyFont="1" applyFill="1" applyBorder="1" applyAlignment="1">
      <alignment horizontal="center" vertical="center" wrapText="1"/>
    </xf>
    <xf numFmtId="49" fontId="19" fillId="19" borderId="30" xfId="0" applyNumberFormat="1" applyFont="1" applyFill="1" applyBorder="1" applyAlignment="1">
      <alignment horizontal="center" vertical="center" wrapText="1"/>
    </xf>
    <xf numFmtId="0" fontId="19" fillId="19" borderId="30" xfId="0" applyFont="1" applyFill="1" applyBorder="1" applyAlignment="1">
      <alignment horizontal="center" vertical="center" wrapText="1"/>
    </xf>
    <xf numFmtId="49" fontId="19" fillId="19" borderId="4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21" borderId="28" xfId="0" applyFill="1" applyBorder="1" applyAlignment="1">
      <alignment vertical="top" wrapText="1"/>
    </xf>
    <xf numFmtId="0" fontId="0" fillId="0" borderId="32" xfId="0" applyBorder="1" applyAlignment="1">
      <alignment horizontal="right" vertical="top" wrapText="1"/>
    </xf>
    <xf numFmtId="49" fontId="30" fillId="19" borderId="4" xfId="0" applyNumberFormat="1" applyFont="1" applyFill="1" applyBorder="1" applyAlignment="1">
      <alignment horizontal="left" vertical="center" wrapText="1"/>
    </xf>
    <xf numFmtId="0" fontId="0" fillId="18" borderId="23" xfId="0" applyFill="1" applyBorder="1" applyAlignment="1">
      <alignment horizontal="left" vertical="center" wrapText="1"/>
    </xf>
    <xf numFmtId="0" fontId="0" fillId="18" borderId="28" xfId="0" applyFill="1" applyBorder="1" applyAlignment="1">
      <alignment vertical="top" wrapText="1"/>
    </xf>
    <xf numFmtId="0" fontId="0" fillId="18" borderId="31" xfId="0" applyFill="1" applyBorder="1" applyAlignment="1">
      <alignment vertical="top" wrapText="1"/>
    </xf>
    <xf numFmtId="0" fontId="0" fillId="18" borderId="33" xfId="0" applyFill="1" applyBorder="1" applyAlignment="1">
      <alignment vertical="top" wrapText="1"/>
    </xf>
    <xf numFmtId="0" fontId="0" fillId="17" borderId="34" xfId="0" applyFill="1" applyBorder="1" applyAlignment="1">
      <alignment horizontal="left" vertical="center" wrapText="1"/>
    </xf>
    <xf numFmtId="0" fontId="0" fillId="17" borderId="31" xfId="0" applyFill="1" applyBorder="1" applyAlignment="1">
      <alignment vertical="top" wrapText="1"/>
    </xf>
    <xf numFmtId="0" fontId="0" fillId="17" borderId="35" xfId="0" applyFill="1" applyBorder="1" applyAlignment="1">
      <alignment vertical="top" wrapText="1"/>
    </xf>
    <xf numFmtId="0" fontId="0" fillId="17" borderId="36" xfId="0" applyFill="1" applyBorder="1" applyAlignment="1">
      <alignment horizontal="right" vertical="center" wrapText="1"/>
    </xf>
    <xf numFmtId="0" fontId="0" fillId="21" borderId="37" xfId="0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3" xfId="0" applyFill="1" applyBorder="1">
      <alignment vertical="top" wrapText="1"/>
    </xf>
    <xf numFmtId="0" fontId="19" fillId="17" borderId="36" xfId="0" applyFont="1" applyFill="1" applyBorder="1" applyAlignment="1">
      <alignment horizontal="center" vertical="center" wrapText="1"/>
    </xf>
    <xf numFmtId="49" fontId="0" fillId="19" borderId="11" xfId="0" applyNumberFormat="1" applyFill="1" applyBorder="1" applyAlignment="1">
      <alignment horizontal="center" vertical="center" wrapText="1"/>
    </xf>
    <xf numFmtId="49" fontId="19" fillId="19" borderId="15" xfId="0" applyNumberFormat="1" applyFont="1" applyFill="1" applyBorder="1" applyAlignment="1">
      <alignment horizontal="center" vertical="center" wrapText="1"/>
    </xf>
    <xf numFmtId="49" fontId="19" fillId="19" borderId="18" xfId="0" applyNumberFormat="1" applyFont="1" applyFill="1" applyBorder="1" applyAlignment="1">
      <alignment horizontal="center" vertical="center" wrapText="1"/>
    </xf>
    <xf numFmtId="49" fontId="19" fillId="19" borderId="40" xfId="0" applyNumberFormat="1" applyFont="1" applyFill="1" applyBorder="1" applyAlignment="1">
      <alignment horizontal="center" vertical="center" wrapText="1"/>
    </xf>
    <xf numFmtId="49" fontId="19" fillId="19" borderId="40" xfId="0" applyNumberFormat="1" applyFont="1" applyFill="1" applyBorder="1" applyAlignment="1">
      <alignment horizontal="center" vertical="center"/>
    </xf>
    <xf numFmtId="49" fontId="0" fillId="19" borderId="40" xfId="0" applyNumberForma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2" fillId="0" borderId="15" xfId="28" applyFont="1" applyFill="1" applyBorder="1" applyAlignment="1" applyProtection="1">
      <alignment vertical="top"/>
    </xf>
    <xf numFmtId="0" fontId="31" fillId="0" borderId="15" xfId="28" applyFont="1" applyFill="1" applyBorder="1" applyAlignment="1" applyProtection="1">
      <alignment vertical="top"/>
    </xf>
    <xf numFmtId="0" fontId="0" fillId="0" borderId="11" xfId="0" applyBorder="1" applyAlignment="1">
      <alignment vertical="top" wrapText="1"/>
    </xf>
    <xf numFmtId="0" fontId="12" fillId="0" borderId="15" xfId="28" applyFont="1" applyFill="1" applyBorder="1" applyAlignment="1" applyProtection="1">
      <alignment vertical="top" wrapText="1"/>
    </xf>
    <xf numFmtId="0" fontId="12" fillId="0" borderId="0" xfId="28" applyFont="1" applyFill="1" applyAlignment="1" applyProtection="1">
      <alignment vertical="top"/>
    </xf>
    <xf numFmtId="0" fontId="12" fillId="0" borderId="0" xfId="28" applyFont="1" applyFill="1" applyAlignment="1" applyProtection="1">
      <alignment vertical="top" wrapText="1"/>
    </xf>
    <xf numFmtId="0" fontId="26" fillId="0" borderId="11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2" fillId="14" borderId="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17" borderId="3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20" fillId="0" borderId="0" xfId="0" applyFont="1" applyAlignment="1">
      <alignment vertical="top" wrapText="1"/>
    </xf>
    <xf numFmtId="49" fontId="2" fillId="0" borderId="4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7" xfId="0" applyNumberFormat="1" applyFont="1" applyBorder="1" applyAlignment="1">
      <alignment vertical="center" wrapText="1"/>
    </xf>
    <xf numFmtId="0" fontId="2" fillId="18" borderId="36" xfId="0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0" fontId="0" fillId="0" borderId="21" xfId="0" applyFont="1" applyFill="1" applyBorder="1" applyAlignment="1">
      <alignment horizontal="right" vertical="top" wrapText="1"/>
    </xf>
    <xf numFmtId="49" fontId="19" fillId="0" borderId="42" xfId="0" applyNumberFormat="1" applyFont="1" applyFill="1" applyBorder="1" applyAlignment="1">
      <alignment horizontal="center" vertical="center" wrapText="1"/>
    </xf>
    <xf numFmtId="0" fontId="0" fillId="13" borderId="43" xfId="0" applyFill="1" applyBorder="1">
      <alignment vertical="top" wrapText="1"/>
    </xf>
    <xf numFmtId="0" fontId="0" fillId="0" borderId="44" xfId="0" applyFill="1" applyBorder="1">
      <alignment vertical="top" wrapText="1"/>
    </xf>
    <xf numFmtId="0" fontId="0" fillId="15" borderId="0" xfId="0" applyFill="1" applyAlignment="1">
      <alignment horizontal="center" vertical="center" wrapText="1"/>
    </xf>
    <xf numFmtId="49" fontId="0" fillId="15" borderId="6" xfId="0" applyNumberFormat="1" applyFill="1" applyBorder="1" applyAlignment="1">
      <alignment horizontal="center" vertical="center" wrapText="1"/>
    </xf>
    <xf numFmtId="49" fontId="0" fillId="15" borderId="4" xfId="0" applyNumberFormat="1" applyFill="1" applyBorder="1" applyAlignment="1">
      <alignment horizontal="center" vertical="center" wrapText="1"/>
    </xf>
    <xf numFmtId="49" fontId="0" fillId="15" borderId="4" xfId="0" applyNumberFormat="1" applyFill="1" applyBorder="1" applyAlignment="1">
      <alignment vertical="top" wrapText="1"/>
    </xf>
    <xf numFmtId="0" fontId="0" fillId="15" borderId="36" xfId="0" applyFill="1" applyBorder="1" applyAlignment="1">
      <alignment horizontal="center" vertical="center" wrapText="1"/>
    </xf>
    <xf numFmtId="49" fontId="0" fillId="16" borderId="50" xfId="0" applyNumberFormat="1" applyFill="1" applyBorder="1" applyAlignment="1">
      <alignment vertical="center" wrapText="1"/>
    </xf>
    <xf numFmtId="0" fontId="0" fillId="0" borderId="51" xfId="0" applyBorder="1" applyAlignment="1">
      <alignment vertical="top" wrapText="1"/>
    </xf>
    <xf numFmtId="0" fontId="0" fillId="0" borderId="51" xfId="0" applyBorder="1" applyAlignment="1">
      <alignment horizontal="left" vertical="top" wrapText="1"/>
    </xf>
    <xf numFmtId="0" fontId="0" fillId="0" borderId="51" xfId="0" applyBorder="1" applyAlignment="1">
      <alignment horizontal="right" vertical="top" wrapText="1"/>
    </xf>
    <xf numFmtId="0" fontId="0" fillId="0" borderId="51" xfId="0" applyBorder="1" applyAlignment="1">
      <alignment horizontal="left" vertical="center" wrapText="1"/>
    </xf>
    <xf numFmtId="0" fontId="23" fillId="0" borderId="4" xfId="0" applyFont="1" applyBorder="1" applyAlignment="1">
      <alignment vertical="top" wrapText="1"/>
    </xf>
    <xf numFmtId="0" fontId="0" fillId="16" borderId="0" xfId="0" applyFill="1" applyAlignment="1">
      <alignment vertical="center" wrapText="1"/>
    </xf>
    <xf numFmtId="0" fontId="0" fillId="0" borderId="52" xfId="0" applyBorder="1" applyAlignment="1">
      <alignment vertical="top" wrapText="1"/>
    </xf>
    <xf numFmtId="0" fontId="0" fillId="0" borderId="52" xfId="0" applyBorder="1" applyAlignment="1">
      <alignment horizontal="left" vertical="top" wrapText="1"/>
    </xf>
    <xf numFmtId="0" fontId="0" fillId="0" borderId="52" xfId="0" applyBorder="1" applyAlignment="1">
      <alignment horizontal="left" vertical="center" wrapText="1"/>
    </xf>
    <xf numFmtId="49" fontId="0" fillId="16" borderId="27" xfId="0" applyNumberFormat="1" applyFill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49" fontId="0" fillId="16" borderId="53" xfId="0" applyNumberFormat="1" applyFill="1" applyBorder="1" applyAlignment="1">
      <alignment vertical="center" wrapText="1"/>
    </xf>
    <xf numFmtId="4" fontId="0" fillId="0" borderId="4" xfId="0" applyNumberFormat="1" applyBorder="1" applyAlignment="1">
      <alignment horizontal="left" vertical="top" wrapText="1"/>
    </xf>
    <xf numFmtId="4" fontId="0" fillId="0" borderId="4" xfId="0" applyNumberFormat="1" applyBorder="1" applyAlignment="1">
      <alignment vertical="top" wrapText="1"/>
    </xf>
    <xf numFmtId="4" fontId="0" fillId="0" borderId="51" xfId="0" applyNumberFormat="1" applyBorder="1" applyAlignment="1">
      <alignment horizontal="left" vertical="top" wrapText="1"/>
    </xf>
    <xf numFmtId="4" fontId="0" fillId="0" borderId="51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4" fontId="0" fillId="0" borderId="52" xfId="0" applyNumberFormat="1" applyBorder="1" applyAlignment="1">
      <alignment horizontal="left" vertical="top" wrapText="1"/>
    </xf>
    <xf numFmtId="4" fontId="0" fillId="0" borderId="52" xfId="0" applyNumberFormat="1" applyBorder="1" applyAlignment="1">
      <alignment vertical="top" wrapText="1"/>
    </xf>
    <xf numFmtId="49" fontId="0" fillId="16" borderId="54" xfId="0" applyNumberFormat="1" applyFill="1" applyBorder="1" applyAlignment="1">
      <alignment vertical="center" wrapText="1"/>
    </xf>
    <xf numFmtId="0" fontId="0" fillId="0" borderId="24" xfId="0" applyBorder="1" applyAlignment="1">
      <alignment vertical="top" wrapText="1"/>
    </xf>
    <xf numFmtId="4" fontId="0" fillId="0" borderId="24" xfId="0" applyNumberFormat="1" applyBorder="1" applyAlignment="1">
      <alignment horizontal="left" vertical="top" wrapText="1"/>
    </xf>
    <xf numFmtId="4" fontId="0" fillId="0" borderId="24" xfId="0" applyNumberFormat="1" applyBorder="1" applyAlignment="1">
      <alignment vertical="top" wrapText="1"/>
    </xf>
    <xf numFmtId="0" fontId="0" fillId="0" borderId="24" xfId="0" applyBorder="1" applyAlignment="1">
      <alignment horizontal="left" vertical="center" wrapText="1"/>
    </xf>
    <xf numFmtId="4" fontId="2" fillId="18" borderId="13" xfId="0" applyNumberFormat="1" applyFont="1" applyFill="1" applyBorder="1" applyAlignment="1">
      <alignment horizontal="center" vertical="center" wrapText="1"/>
    </xf>
    <xf numFmtId="4" fontId="0" fillId="18" borderId="13" xfId="0" applyNumberFormat="1" applyFill="1" applyBorder="1" applyAlignment="1">
      <alignment horizontal="center" vertical="center" wrapText="1"/>
    </xf>
    <xf numFmtId="0" fontId="0" fillId="0" borderId="56" xfId="0" applyBorder="1" applyAlignment="1">
      <alignment vertical="top" wrapText="1"/>
    </xf>
    <xf numFmtId="0" fontId="19" fillId="15" borderId="52" xfId="0" applyFont="1" applyFill="1" applyBorder="1" applyAlignment="1">
      <alignment vertical="top" wrapText="1"/>
    </xf>
    <xf numFmtId="49" fontId="0" fillId="16" borderId="6" xfId="0" applyNumberFormat="1" applyFill="1" applyBorder="1" applyAlignment="1">
      <alignment horizontal="left" vertical="center" wrapText="1"/>
    </xf>
    <xf numFmtId="49" fontId="0" fillId="16" borderId="59" xfId="0" applyNumberFormat="1" applyFill="1" applyBorder="1" applyAlignment="1">
      <alignment horizontal="left" vertical="center" wrapText="1"/>
    </xf>
    <xf numFmtId="49" fontId="0" fillId="16" borderId="60" xfId="0" applyNumberFormat="1" applyFill="1" applyBorder="1" applyAlignment="1">
      <alignment horizontal="left" vertical="center" wrapText="1"/>
    </xf>
    <xf numFmtId="0" fontId="23" fillId="0" borderId="23" xfId="0" applyFont="1" applyBorder="1" applyAlignment="1">
      <alignment vertical="top" wrapText="1"/>
    </xf>
    <xf numFmtId="49" fontId="0" fillId="16" borderId="61" xfId="0" applyNumberFormat="1" applyFill="1" applyBorder="1" applyAlignment="1">
      <alignment horizontal="left" vertical="center" wrapText="1"/>
    </xf>
    <xf numFmtId="0" fontId="0" fillId="0" borderId="62" xfId="0" applyBorder="1" applyAlignment="1">
      <alignment vertical="top" wrapText="1"/>
    </xf>
    <xf numFmtId="4" fontId="19" fillId="0" borderId="62" xfId="0" applyNumberFormat="1" applyFont="1" applyBorder="1" applyAlignment="1">
      <alignment horizontal="left" vertical="top" wrapText="1"/>
    </xf>
    <xf numFmtId="4" fontId="0" fillId="0" borderId="62" xfId="0" applyNumberFormat="1" applyBorder="1" applyAlignment="1">
      <alignment vertical="top" wrapText="1"/>
    </xf>
    <xf numFmtId="0" fontId="0" fillId="15" borderId="52" xfId="0" applyFill="1" applyBorder="1" applyAlignment="1">
      <alignment vertical="top" wrapText="1"/>
    </xf>
    <xf numFmtId="4" fontId="19" fillId="0" borderId="4" xfId="0" applyNumberFormat="1" applyFont="1" applyBorder="1" applyAlignment="1">
      <alignment vertical="top" wrapText="1"/>
    </xf>
    <xf numFmtId="49" fontId="0" fillId="16" borderId="64" xfId="0" applyNumberFormat="1" applyFill="1" applyBorder="1" applyAlignment="1">
      <alignment vertical="center" wrapText="1"/>
    </xf>
    <xf numFmtId="4" fontId="0" fillId="0" borderId="23" xfId="0" applyNumberFormat="1" applyBorder="1" applyAlignment="1">
      <alignment horizontal="left" vertical="top" wrapText="1"/>
    </xf>
    <xf numFmtId="4" fontId="19" fillId="0" borderId="23" xfId="0" applyNumberFormat="1" applyFont="1" applyBorder="1" applyAlignment="1">
      <alignment vertical="top" wrapText="1"/>
    </xf>
    <xf numFmtId="49" fontId="0" fillId="16" borderId="66" xfId="0" applyNumberFormat="1" applyFill="1" applyBorder="1" applyAlignment="1">
      <alignment vertical="center" wrapText="1"/>
    </xf>
    <xf numFmtId="4" fontId="19" fillId="0" borderId="51" xfId="0" applyNumberFormat="1" applyFont="1" applyBorder="1" applyAlignment="1">
      <alignment vertical="top" wrapText="1"/>
    </xf>
    <xf numFmtId="4" fontId="0" fillId="0" borderId="56" xfId="0" applyNumberFormat="1" applyBorder="1" applyAlignment="1">
      <alignment horizontal="left" vertical="top" wrapText="1"/>
    </xf>
    <xf numFmtId="4" fontId="19" fillId="0" borderId="56" xfId="0" applyNumberFormat="1" applyFont="1" applyBorder="1" applyAlignment="1">
      <alignment vertical="top" wrapText="1"/>
    </xf>
    <xf numFmtId="49" fontId="0" fillId="16" borderId="70" xfId="0" applyNumberForma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4" fontId="0" fillId="0" borderId="67" xfId="0" applyNumberFormat="1" applyBorder="1" applyAlignment="1">
      <alignment horizontal="left" vertical="top" wrapText="1"/>
    </xf>
    <xf numFmtId="4" fontId="19" fillId="0" borderId="71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0" fillId="16" borderId="72" xfId="0" applyNumberFormat="1" applyFill="1" applyBorder="1" applyAlignment="1">
      <alignment vertical="center" wrapText="1"/>
    </xf>
    <xf numFmtId="0" fontId="0" fillId="0" borderId="73" xfId="0" applyBorder="1" applyAlignment="1">
      <alignment vertical="top" wrapText="1"/>
    </xf>
    <xf numFmtId="4" fontId="0" fillId="0" borderId="73" xfId="0" applyNumberFormat="1" applyBorder="1" applyAlignment="1">
      <alignment horizontal="left" vertical="top" wrapText="1"/>
    </xf>
    <xf numFmtId="4" fontId="0" fillId="0" borderId="71" xfId="0" applyNumberFormat="1" applyBorder="1" applyAlignment="1">
      <alignment horizontal="left" vertical="top" wrapText="1"/>
    </xf>
    <xf numFmtId="4" fontId="19" fillId="0" borderId="72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horizontal="left" vertical="top" wrapText="1"/>
    </xf>
    <xf numFmtId="4" fontId="19" fillId="0" borderId="13" xfId="0" applyNumberFormat="1" applyFont="1" applyBorder="1" applyAlignment="1">
      <alignment vertical="top" wrapText="1"/>
    </xf>
    <xf numFmtId="4" fontId="19" fillId="0" borderId="73" xfId="0" applyNumberFormat="1" applyFont="1" applyBorder="1" applyAlignment="1">
      <alignment vertical="top" wrapText="1"/>
    </xf>
    <xf numFmtId="4" fontId="2" fillId="18" borderId="13" xfId="0" applyNumberFormat="1" applyFont="1" applyFill="1" applyBorder="1" applyAlignment="1">
      <alignment vertical="center" wrapText="1"/>
    </xf>
    <xf numFmtId="4" fontId="0" fillId="18" borderId="13" xfId="0" applyNumberFormat="1" applyFill="1" applyBorder="1" applyAlignment="1">
      <alignment vertical="top" wrapText="1"/>
    </xf>
    <xf numFmtId="49" fontId="0" fillId="16" borderId="77" xfId="0" applyNumberFormat="1" applyFill="1" applyBorder="1" applyAlignment="1">
      <alignment vertical="center" wrapText="1"/>
    </xf>
    <xf numFmtId="4" fontId="2" fillId="18" borderId="0" xfId="0" applyNumberFormat="1" applyFont="1" applyFill="1" applyAlignment="1">
      <alignment vertical="center" wrapText="1"/>
    </xf>
    <xf numFmtId="4" fontId="0" fillId="18" borderId="0" xfId="0" applyNumberFormat="1" applyFill="1" applyAlignment="1">
      <alignment horizontal="right" vertical="center" wrapText="1"/>
    </xf>
    <xf numFmtId="0" fontId="0" fillId="0" borderId="21" xfId="0" applyFill="1" applyBorder="1" applyAlignment="1">
      <alignment horizontal="right" vertical="top" wrapText="1"/>
    </xf>
    <xf numFmtId="0" fontId="10" fillId="0" borderId="48" xfId="0" applyFont="1" applyFill="1" applyBorder="1" applyAlignment="1">
      <alignment horizontal="center" vertical="center" wrapText="1"/>
    </xf>
    <xf numFmtId="0" fontId="0" fillId="22" borderId="0" xfId="0" applyFill="1">
      <alignment vertical="top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left" vertical="center" wrapText="1"/>
    </xf>
    <xf numFmtId="49" fontId="0" fillId="15" borderId="4" xfId="0" applyNumberForma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49" fontId="0" fillId="16" borderId="41" xfId="0" applyNumberFormat="1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left" vertical="top" wrapText="1"/>
    </xf>
    <xf numFmtId="4" fontId="0" fillId="0" borderId="4" xfId="0" applyNumberFormat="1" applyFill="1" applyBorder="1">
      <alignment vertical="top" wrapText="1"/>
    </xf>
    <xf numFmtId="0" fontId="0" fillId="0" borderId="4" xfId="0" applyFill="1" applyBorder="1" applyAlignment="1">
      <alignment horizontal="left" vertical="center" wrapText="1"/>
    </xf>
    <xf numFmtId="0" fontId="2" fillId="18" borderId="5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top" wrapText="1"/>
    </xf>
    <xf numFmtId="0" fontId="0" fillId="0" borderId="58" xfId="0" applyFill="1" applyBorder="1">
      <alignment vertical="top" wrapText="1"/>
    </xf>
    <xf numFmtId="0" fontId="5" fillId="2" borderId="63" xfId="0" applyFont="1" applyFill="1" applyBorder="1" applyAlignment="1">
      <alignment horizontal="center" vertical="top" wrapText="1"/>
    </xf>
    <xf numFmtId="49" fontId="0" fillId="16" borderId="64" xfId="0" applyNumberFormat="1" applyFill="1" applyBorder="1" applyAlignment="1">
      <alignment horizontal="center" vertical="center" wrapText="1"/>
    </xf>
    <xf numFmtId="0" fontId="0" fillId="0" borderId="36" xfId="0" applyFill="1" applyBorder="1">
      <alignment vertical="top" wrapText="1"/>
    </xf>
    <xf numFmtId="49" fontId="0" fillId="16" borderId="13" xfId="0" applyNumberFormat="1" applyFill="1" applyBorder="1" applyAlignment="1">
      <alignment horizontal="center" vertical="center" wrapText="1"/>
    </xf>
    <xf numFmtId="0" fontId="0" fillId="0" borderId="65" xfId="0" applyFill="1" applyBorder="1">
      <alignment vertical="top" wrapText="1"/>
    </xf>
    <xf numFmtId="0" fontId="0" fillId="16" borderId="67" xfId="0" applyFill="1" applyBorder="1" applyAlignment="1">
      <alignment horizontal="center" vertical="center" wrapText="1"/>
    </xf>
    <xf numFmtId="0" fontId="0" fillId="16" borderId="68" xfId="0" applyFill="1" applyBorder="1" applyAlignment="1">
      <alignment horizontal="center" vertical="center" wrapText="1"/>
    </xf>
    <xf numFmtId="0" fontId="0" fillId="0" borderId="69" xfId="0" applyFill="1" applyBorder="1">
      <alignment vertical="top" wrapText="1"/>
    </xf>
    <xf numFmtId="0" fontId="0" fillId="16" borderId="74" xfId="0" applyFill="1" applyBorder="1" applyAlignment="1">
      <alignment horizontal="center" vertical="center" wrapText="1"/>
    </xf>
    <xf numFmtId="0" fontId="0" fillId="16" borderId="75" xfId="0" applyFill="1" applyBorder="1" applyAlignment="1">
      <alignment horizontal="center" vertical="center" wrapText="1"/>
    </xf>
    <xf numFmtId="49" fontId="2" fillId="18" borderId="68" xfId="0" applyNumberFormat="1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0" fillId="15" borderId="76" xfId="0" applyFill="1" applyBorder="1" applyAlignment="1">
      <alignment horizontal="center" vertical="center" wrapText="1"/>
    </xf>
    <xf numFmtId="49" fontId="0" fillId="16" borderId="77" xfId="0" applyNumberFormat="1" applyFill="1" applyBorder="1" applyAlignment="1">
      <alignment horizontal="center" vertical="center" wrapText="1"/>
    </xf>
    <xf numFmtId="0" fontId="2" fillId="18" borderId="78" xfId="0" applyFont="1" applyFill="1" applyBorder="1" applyAlignment="1">
      <alignment horizontal="center" vertical="center" wrapText="1"/>
    </xf>
  </cellXfs>
  <cellStyles count="43">
    <cellStyle name="Accent" xfId="7"/>
    <cellStyle name="Accent 1" xfId="8"/>
    <cellStyle name="Accent 1 5" xfId="9"/>
    <cellStyle name="Accent 1 6" xfId="10"/>
    <cellStyle name="Accent 2" xfId="11"/>
    <cellStyle name="Accent 2 6" xfId="12"/>
    <cellStyle name="Accent 2 7" xfId="13"/>
    <cellStyle name="Accent 3" xfId="14"/>
    <cellStyle name="Accent 3 7" xfId="15"/>
    <cellStyle name="Accent 3 8" xfId="16"/>
    <cellStyle name="Accent 4" xfId="17"/>
    <cellStyle name="Accent 5" xfId="18"/>
    <cellStyle name="Bad" xfId="4" builtinId="27" customBuiltin="1"/>
    <cellStyle name="Error" xfId="19"/>
    <cellStyle name="Error 8" xfId="20"/>
    <cellStyle name="Error 9" xfId="21"/>
    <cellStyle name="Footnote" xfId="22"/>
    <cellStyle name="Footnote 16" xfId="23"/>
    <cellStyle name="Footnote 9" xfId="24"/>
    <cellStyle name="Good" xfId="3" builtinId="26" customBuiltin="1"/>
    <cellStyle name="Heading" xfId="25"/>
    <cellStyle name="Heading 1" xfId="1" builtinId="16" customBuiltin="1"/>
    <cellStyle name="Heading 17" xfId="26"/>
    <cellStyle name="Heading 2" xfId="2" builtinId="17" customBuiltin="1"/>
    <cellStyle name="Hyperlink" xfId="27"/>
    <cellStyle name="Hyperlink 10" xfId="28"/>
    <cellStyle name="Hyperlink 18" xfId="29"/>
    <cellStyle name="Neutral" xfId="5" builtinId="28" customBuiltin="1"/>
    <cellStyle name="Normal" xfId="0" builtinId="0" customBuiltin="1"/>
    <cellStyle name="Normal 2 2" xfId="30"/>
    <cellStyle name="Normal_Sheet 2 - Page 2" xfId="31"/>
    <cellStyle name="Note" xfId="6" builtinId="10" customBuiltin="1"/>
    <cellStyle name="Result" xfId="32"/>
    <cellStyle name="Result 19" xfId="33"/>
    <cellStyle name="Status" xfId="34"/>
    <cellStyle name="Status 11" xfId="35"/>
    <cellStyle name="Status 20" xfId="36"/>
    <cellStyle name="Text" xfId="37"/>
    <cellStyle name="Text 12" xfId="38"/>
    <cellStyle name="Text 21" xfId="39"/>
    <cellStyle name="Warning" xfId="40"/>
    <cellStyle name="Warning 13" xfId="41"/>
    <cellStyle name="Warning 2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prtr.eea.europa.eu/" TargetMode="External"/><Relationship Id="rId21" Type="http://schemas.openxmlformats.org/officeDocument/2006/relationships/hyperlink" Target="https://ec.europa.eu/clima/sites/clima/files/ets/registry/docs/compliance_2018_code_en.xlsx" TargetMode="External"/><Relationship Id="rId42" Type="http://schemas.openxmlformats.org/officeDocument/2006/relationships/hyperlink" Target="https://ec.europa.eu/clima/sites/clima/files/ets/registry/docs/verified_emissions_2018_en.xlsx" TargetMode="External"/><Relationship Id="rId63" Type="http://schemas.openxmlformats.org/officeDocument/2006/relationships/hyperlink" Target="https://prtr.eea.europa.eu/" TargetMode="External"/><Relationship Id="rId84" Type="http://schemas.openxmlformats.org/officeDocument/2006/relationships/hyperlink" Target="https://prtr.eea.europa.eu/" TargetMode="External"/><Relationship Id="rId138" Type="http://schemas.openxmlformats.org/officeDocument/2006/relationships/hyperlink" Target="https://ec.europa.eu/clima/sites/clima/files/ets/registry/docs/compliance_2018_code_en.xlsx" TargetMode="External"/><Relationship Id="rId159" Type="http://schemas.openxmlformats.org/officeDocument/2006/relationships/hyperlink" Target="https://ec.europa.eu/clima/sites/clima/files/ets/registry/docs/compliance_2018_code_en.xlsx" TargetMode="External"/><Relationship Id="rId170" Type="http://schemas.openxmlformats.org/officeDocument/2006/relationships/hyperlink" Target="https://prtr.eea.europa.eu/" TargetMode="External"/><Relationship Id="rId191" Type="http://schemas.openxmlformats.org/officeDocument/2006/relationships/hyperlink" Target="https://prtr.eea.europa.eu/" TargetMode="External"/><Relationship Id="rId205" Type="http://schemas.openxmlformats.org/officeDocument/2006/relationships/hyperlink" Target="https://www.anac.pt/SiteCollectionDocuments/Publicacoes/anuarios/ACC_2017.pdf" TargetMode="External"/><Relationship Id="rId107" Type="http://schemas.openxmlformats.org/officeDocument/2006/relationships/hyperlink" Target="https://ec.europa.eu/clima/sites/clima/files/ets/registry/docs/compliance_2018_code_en.xlsx" TargetMode="External"/><Relationship Id="rId11" Type="http://schemas.openxmlformats.org/officeDocument/2006/relationships/hyperlink" Target="https://prtr.eea.europa.eu/" TargetMode="External"/><Relationship Id="rId32" Type="http://schemas.openxmlformats.org/officeDocument/2006/relationships/hyperlink" Target="https://ec.europa.eu/clima/sites/clima/files/ets/registry/docs/verified_emissions_2018_en.xlsx" TargetMode="External"/><Relationship Id="rId53" Type="http://schemas.openxmlformats.org/officeDocument/2006/relationships/hyperlink" Target="https://prtr.eea.europa.eu/" TargetMode="External"/><Relationship Id="rId74" Type="http://schemas.openxmlformats.org/officeDocument/2006/relationships/hyperlink" Target="https://ec.europa.eu/clima/sites/clima/files/ets/registry/docs/compliance_2018_code_en.xlsx" TargetMode="External"/><Relationship Id="rId128" Type="http://schemas.openxmlformats.org/officeDocument/2006/relationships/hyperlink" Target="https://ec.europa.eu/clima/sites/clima/files/ets/registry/docs/compliance_2018_code_en.xlsx" TargetMode="External"/><Relationship Id="rId149" Type="http://schemas.openxmlformats.org/officeDocument/2006/relationships/hyperlink" Target="https://ec.europa.eu/clima/sites/clima/files/ets/registry/docs/verified_emissions_2018_en.xlsx" TargetMode="External"/><Relationship Id="rId5" Type="http://schemas.openxmlformats.org/officeDocument/2006/relationships/hyperlink" Target="https://prtr.eea.europa.eu/" TargetMode="External"/><Relationship Id="rId95" Type="http://schemas.openxmlformats.org/officeDocument/2006/relationships/hyperlink" Target="https://ec.europa.eu/clima/sites/clima/files/ets/registry/docs/compliance_2018_code_en.xlsx" TargetMode="External"/><Relationship Id="rId160" Type="http://schemas.openxmlformats.org/officeDocument/2006/relationships/hyperlink" Target="https://ec.europa.eu/clima/sites/clima/files/ets/registry/docs/compliance_2018_code_en.xlsx" TargetMode="External"/><Relationship Id="rId181" Type="http://schemas.openxmlformats.org/officeDocument/2006/relationships/hyperlink" Target="https://prtr.eea.europa.eu/" TargetMode="External"/><Relationship Id="rId216" Type="http://schemas.openxmlformats.org/officeDocument/2006/relationships/hyperlink" Target="https://ec.europa.eu/clima/sites/clima/files/ets/registry/docs/compliance_2018_code_en.xlsx" TargetMode="External"/><Relationship Id="rId22" Type="http://schemas.openxmlformats.org/officeDocument/2006/relationships/hyperlink" Target="https://prtr.eea.europa.eu/" TargetMode="External"/><Relationship Id="rId43" Type="http://schemas.openxmlformats.org/officeDocument/2006/relationships/hyperlink" Target="https://ec.europa.eu/clima/sites/clima/files/ets/registry/docs/compliance_2018_code_en.xlsx" TargetMode="External"/><Relationship Id="rId64" Type="http://schemas.openxmlformats.org/officeDocument/2006/relationships/hyperlink" Target="https://prtr.eea.europa.eu/" TargetMode="External"/><Relationship Id="rId118" Type="http://schemas.openxmlformats.org/officeDocument/2006/relationships/hyperlink" Target="https://ec.europa.eu/clima/sites/clima/files/ets/registry/docs/compliance_2018_code_en.xlsx" TargetMode="External"/><Relationship Id="rId139" Type="http://schemas.openxmlformats.org/officeDocument/2006/relationships/hyperlink" Target="https://ec.europa.eu/clima/sites/clima/files/ets/registry/docs/compliance_2018_code_en.xlsx" TargetMode="External"/><Relationship Id="rId85" Type="http://schemas.openxmlformats.org/officeDocument/2006/relationships/hyperlink" Target="https://prtr.eea.europa.eu/" TargetMode="External"/><Relationship Id="rId150" Type="http://schemas.openxmlformats.org/officeDocument/2006/relationships/hyperlink" Target="https://prtr.eea.europa.eu/" TargetMode="External"/><Relationship Id="rId171" Type="http://schemas.openxmlformats.org/officeDocument/2006/relationships/hyperlink" Target="https://ec.europa.eu/clima/sites/clima/files/ets/registry/docs/verified_emissions_2018_en.xlsx" TargetMode="External"/><Relationship Id="rId192" Type="http://schemas.openxmlformats.org/officeDocument/2006/relationships/hyperlink" Target="https://prtr.eea.europa.eu/" TargetMode="External"/><Relationship Id="rId206" Type="http://schemas.openxmlformats.org/officeDocument/2006/relationships/hyperlink" Target="https://ec.europa.eu/clima/sites/clima/files/ets/registry/docs/compliance_2018_code_en.xlsx" TargetMode="External"/><Relationship Id="rId12" Type="http://schemas.openxmlformats.org/officeDocument/2006/relationships/hyperlink" Target="https://prtr.eea.europa.eu/" TargetMode="External"/><Relationship Id="rId33" Type="http://schemas.openxmlformats.org/officeDocument/2006/relationships/hyperlink" Target="https://prtr.eea.europa.eu/" TargetMode="External"/><Relationship Id="rId108" Type="http://schemas.openxmlformats.org/officeDocument/2006/relationships/hyperlink" Target="https://ec.europa.eu/clima/sites/clima/files/ets/registry/docs/compliance_2018_code_en.xlsx" TargetMode="External"/><Relationship Id="rId129" Type="http://schemas.openxmlformats.org/officeDocument/2006/relationships/hyperlink" Target="https://ec.europa.eu/clima/sites/clima/files/ets/registry/docs/compliance_2018_code_en.xlsx" TargetMode="External"/><Relationship Id="rId54" Type="http://schemas.openxmlformats.org/officeDocument/2006/relationships/hyperlink" Target="https://ec.europa.eu/clima/sites/clima/files/ets/registry/docs/compliance_2018_code_en.xlsx" TargetMode="External"/><Relationship Id="rId75" Type="http://schemas.openxmlformats.org/officeDocument/2006/relationships/hyperlink" Target="https://ec.europa.eu/clima/sites/clima/files/ets/registry/docs/compliance_2018_code_en.xlsx" TargetMode="External"/><Relationship Id="rId96" Type="http://schemas.openxmlformats.org/officeDocument/2006/relationships/hyperlink" Target="https://ec.europa.eu/clima/sites/clima/files/ets/registry/docs/compliance_2018_code_en.xlsx" TargetMode="External"/><Relationship Id="rId140" Type="http://schemas.openxmlformats.org/officeDocument/2006/relationships/hyperlink" Target="https://ec.europa.eu/clima/sites/clima/files/ets/registry/docs/verified_emissions_2018_en.xlsx" TargetMode="External"/><Relationship Id="rId161" Type="http://schemas.openxmlformats.org/officeDocument/2006/relationships/hyperlink" Target="https://prtr.eea.europa.eu/" TargetMode="External"/><Relationship Id="rId182" Type="http://schemas.openxmlformats.org/officeDocument/2006/relationships/hyperlink" Target="https://ec.europa.eu/clima/sites/clima/files/ets/registry/docs/compliance_2018_code_en.xlsx" TargetMode="External"/><Relationship Id="rId6" Type="http://schemas.openxmlformats.org/officeDocument/2006/relationships/hyperlink" Target="https://ec.europa.eu/clima/sites/clima/files/ets/registry/docs/verified_emissions_2018_en.xlsx" TargetMode="External"/><Relationship Id="rId23" Type="http://schemas.openxmlformats.org/officeDocument/2006/relationships/hyperlink" Target="https://prtr.eea.europa.eu/" TargetMode="External"/><Relationship Id="rId119" Type="http://schemas.openxmlformats.org/officeDocument/2006/relationships/hyperlink" Target="https://ec.europa.eu/clima/sites/clima/files/ets/registry/docs/compliance_2018_code_en.xlsx" TargetMode="External"/><Relationship Id="rId44" Type="http://schemas.openxmlformats.org/officeDocument/2006/relationships/hyperlink" Target="https://prtr.eea.europa.eu/" TargetMode="External"/><Relationship Id="rId65" Type="http://schemas.openxmlformats.org/officeDocument/2006/relationships/hyperlink" Target="https://prtr.eea.europa.eu/" TargetMode="External"/><Relationship Id="rId86" Type="http://schemas.openxmlformats.org/officeDocument/2006/relationships/hyperlink" Target="https://ec.europa.eu/clima/sites/clima/files/ets/registry/docs/compliance_2018_code_en.xlsx" TargetMode="External"/><Relationship Id="rId130" Type="http://schemas.openxmlformats.org/officeDocument/2006/relationships/hyperlink" Target="https://ec.europa.eu/clima/sites/clima/files/ets/registry/docs/compliance_2018_code_en.xlsx" TargetMode="External"/><Relationship Id="rId151" Type="http://schemas.openxmlformats.org/officeDocument/2006/relationships/hyperlink" Target="https://ec.europa.eu/clima/sites/clima/files/ets/registry/docs/compliance_2018_code_en.xlsx" TargetMode="External"/><Relationship Id="rId172" Type="http://schemas.openxmlformats.org/officeDocument/2006/relationships/hyperlink" Target="https://ec.europa.eu/clima/sites/clima/files/ets/registry/docs/compliance_2018_code_en.xlsx" TargetMode="External"/><Relationship Id="rId193" Type="http://schemas.openxmlformats.org/officeDocument/2006/relationships/hyperlink" Target="https://ec.europa.eu/clima/sites/clima/files/ets/registry/docs/compliance_2018_code_en.xlsx" TargetMode="External"/><Relationship Id="rId207" Type="http://schemas.openxmlformats.org/officeDocument/2006/relationships/hyperlink" Target="https://ec.europa.eu/clima/sites/clima/files/ets/registry/docs/compliance_2018_code_en.xlsx" TargetMode="External"/><Relationship Id="rId13" Type="http://schemas.openxmlformats.org/officeDocument/2006/relationships/hyperlink" Target="https://prtr.eea.europa.eu/" TargetMode="External"/><Relationship Id="rId109" Type="http://schemas.openxmlformats.org/officeDocument/2006/relationships/hyperlink" Target="https://ec.europa.eu/clima/sites/clima/files/ets/registry/docs/compliance_2018_code_en.xlsx" TargetMode="External"/><Relationship Id="rId34" Type="http://schemas.openxmlformats.org/officeDocument/2006/relationships/hyperlink" Target="https://ec.europa.eu/clima/sites/clima/files/ets/registry/docs/compliance_2018_code_en.xlsx" TargetMode="External"/><Relationship Id="rId55" Type="http://schemas.openxmlformats.org/officeDocument/2006/relationships/hyperlink" Target="https://prtr.eea.europa.eu/" TargetMode="External"/><Relationship Id="rId76" Type="http://schemas.openxmlformats.org/officeDocument/2006/relationships/hyperlink" Target="https://prtr.eea.europa.eu/" TargetMode="External"/><Relationship Id="rId97" Type="http://schemas.openxmlformats.org/officeDocument/2006/relationships/hyperlink" Target="https://ec.europa.eu/clima/sites/clima/files/ets/registry/docs/compliance_2018_code_en.xlsx" TargetMode="External"/><Relationship Id="rId120" Type="http://schemas.openxmlformats.org/officeDocument/2006/relationships/hyperlink" Target="https://ec.europa.eu/clima/sites/clima/files/ets/registry/docs/compliance_2018_code_en.xlsx" TargetMode="External"/><Relationship Id="rId141" Type="http://schemas.openxmlformats.org/officeDocument/2006/relationships/hyperlink" Target="https://prtr.eea.europa.eu/" TargetMode="External"/><Relationship Id="rId7" Type="http://schemas.openxmlformats.org/officeDocument/2006/relationships/hyperlink" Target="https://prtr.eea.europa.eu/" TargetMode="External"/><Relationship Id="rId162" Type="http://schemas.openxmlformats.org/officeDocument/2006/relationships/hyperlink" Target="https://ec.europa.eu/clima/sites/clima/files/ets/registry/docs/compliance_2018_code_en.xlsx" TargetMode="External"/><Relationship Id="rId183" Type="http://schemas.openxmlformats.org/officeDocument/2006/relationships/hyperlink" Target="https://ec.europa.eu/clima/sites/clima/files/ets/registry/docs/compliance_2018_code_en.xlsx" TargetMode="External"/><Relationship Id="rId24" Type="http://schemas.openxmlformats.org/officeDocument/2006/relationships/hyperlink" Target="https://ec.europa.eu/clima/sites/clima/files/ets/registry/docs/verified_emissions_2018_en.xlsx" TargetMode="External"/><Relationship Id="rId45" Type="http://schemas.openxmlformats.org/officeDocument/2006/relationships/hyperlink" Target="https://ec.europa.eu/clima/sites/clima/files/ets/registry/docs/compliance_2018_code_en.xlsx" TargetMode="External"/><Relationship Id="rId66" Type="http://schemas.openxmlformats.org/officeDocument/2006/relationships/hyperlink" Target="https://ec.europa.eu/clima/sites/clima/files/ets/registry/docs/compliance_2018_code_en.xlsx" TargetMode="External"/><Relationship Id="rId87" Type="http://schemas.openxmlformats.org/officeDocument/2006/relationships/hyperlink" Target="https://ec.europa.eu/clima/sites/clima/files/ets/registry/docs/verified_emissions_2018_en.xlsx" TargetMode="External"/><Relationship Id="rId110" Type="http://schemas.openxmlformats.org/officeDocument/2006/relationships/hyperlink" Target="https://ec.europa.eu/clima/sites/clima/files/ets/registry/docs/compliance_2018_code_en.xlsx" TargetMode="External"/><Relationship Id="rId131" Type="http://schemas.openxmlformats.org/officeDocument/2006/relationships/hyperlink" Target="https://ec.europa.eu/clima/sites/clima/files/ets/registry/docs/compliance_2018_code_en.xlsx" TargetMode="External"/><Relationship Id="rId152" Type="http://schemas.openxmlformats.org/officeDocument/2006/relationships/hyperlink" Target="https://prtr.eea.europa.eu/" TargetMode="External"/><Relationship Id="rId173" Type="http://schemas.openxmlformats.org/officeDocument/2006/relationships/hyperlink" Target="https://ec.europa.eu/clima/sites/clima/files/ets/registry/docs/compliance_2018_code_en.xlsx" TargetMode="External"/><Relationship Id="rId194" Type="http://schemas.openxmlformats.org/officeDocument/2006/relationships/hyperlink" Target="https://prtr.eea.europa.eu/" TargetMode="External"/><Relationship Id="rId208" Type="http://schemas.openxmlformats.org/officeDocument/2006/relationships/hyperlink" Target="https://ec.europa.eu/clima/sites/clima/files/ets/registry/docs/compliance_2018_code_en.xlsx" TargetMode="External"/><Relationship Id="rId19" Type="http://schemas.openxmlformats.org/officeDocument/2006/relationships/hyperlink" Target="https://prtr.eea.europa.eu/" TargetMode="External"/><Relationship Id="rId14" Type="http://schemas.openxmlformats.org/officeDocument/2006/relationships/hyperlink" Target="https://ec.europa.eu/clima/sites/clima/files/ets/registry/docs/verified_emissions_2018_en.xlsx" TargetMode="External"/><Relationship Id="rId30" Type="http://schemas.openxmlformats.org/officeDocument/2006/relationships/hyperlink" Target="https://prtr.eea.europa.eu/" TargetMode="External"/><Relationship Id="rId35" Type="http://schemas.openxmlformats.org/officeDocument/2006/relationships/hyperlink" Target="https://prtr.eea.europa.eu/" TargetMode="External"/><Relationship Id="rId56" Type="http://schemas.openxmlformats.org/officeDocument/2006/relationships/hyperlink" Target="https://prtr.eea.europa.eu/" TargetMode="External"/><Relationship Id="rId77" Type="http://schemas.openxmlformats.org/officeDocument/2006/relationships/hyperlink" Target="https://ec.europa.eu/clima/sites/clima/files/ets/registry/docs/verified_emissions_2018_en.xlsx" TargetMode="External"/><Relationship Id="rId100" Type="http://schemas.openxmlformats.org/officeDocument/2006/relationships/hyperlink" Target="https://ec.europa.eu/clima/sites/clima/files/ets/registry/docs/compliance_2018_code_en.xlsx" TargetMode="External"/><Relationship Id="rId105" Type="http://schemas.openxmlformats.org/officeDocument/2006/relationships/hyperlink" Target="https://prtr.eea.europa.eu/" TargetMode="External"/><Relationship Id="rId126" Type="http://schemas.openxmlformats.org/officeDocument/2006/relationships/hyperlink" Target="https://ec.europa.eu/clima/sites/clima/files/ets/registry/docs/compliance_2018_code_en.xlsx" TargetMode="External"/><Relationship Id="rId147" Type="http://schemas.openxmlformats.org/officeDocument/2006/relationships/hyperlink" Target="https://ec.europa.eu/clima/sites/clima/files/ets/registry/docs/compliance_2018_code_en.xlsx" TargetMode="External"/><Relationship Id="rId168" Type="http://schemas.openxmlformats.org/officeDocument/2006/relationships/hyperlink" Target="https://ec.europa.eu/clima/sites/clima/files/ets/registry/docs/compliance_2018_code_en.xlsx" TargetMode="External"/><Relationship Id="rId8" Type="http://schemas.openxmlformats.org/officeDocument/2006/relationships/hyperlink" Target="https://ec.europa.eu/clima/sites/clima/files/ets/registry/docs/verified_emissions_2018_en.xlsx" TargetMode="External"/><Relationship Id="rId51" Type="http://schemas.openxmlformats.org/officeDocument/2006/relationships/hyperlink" Target="https://ec.europa.eu/clima/sites/clima/files/ets/registry/docs/compliance_2018_code_en.xlsx" TargetMode="External"/><Relationship Id="rId72" Type="http://schemas.openxmlformats.org/officeDocument/2006/relationships/hyperlink" Target="https://ec.europa.eu/clima/sites/clima/files/ets/registry/docs/compliance_2018_code_en.xlsx" TargetMode="External"/><Relationship Id="rId93" Type="http://schemas.openxmlformats.org/officeDocument/2006/relationships/hyperlink" Target="https://ec.europa.eu/clima/sites/clima/files/ets/registry/docs/compliance_2018_code_en.xlsx" TargetMode="External"/><Relationship Id="rId98" Type="http://schemas.openxmlformats.org/officeDocument/2006/relationships/hyperlink" Target="https://prtr.eea.europa.eu/" TargetMode="External"/><Relationship Id="rId121" Type="http://schemas.openxmlformats.org/officeDocument/2006/relationships/hyperlink" Target="https://ec.europa.eu/clima/sites/clima/files/ets/registry/docs/compliance_2018_code_en.xlsx" TargetMode="External"/><Relationship Id="rId142" Type="http://schemas.openxmlformats.org/officeDocument/2006/relationships/hyperlink" Target="https://ec.europa.eu/clima/sites/clima/files/ets/registry/docs/compliance_2018_code_en.xlsx" TargetMode="External"/><Relationship Id="rId163" Type="http://schemas.openxmlformats.org/officeDocument/2006/relationships/hyperlink" Target="https://ec.europa.eu/clima/sites/clima/files/ets/registry/docs/compliance_2018_code_en.xlsx" TargetMode="External"/><Relationship Id="rId184" Type="http://schemas.openxmlformats.org/officeDocument/2006/relationships/hyperlink" Target="https://prtr.eea.europa.eu/" TargetMode="External"/><Relationship Id="rId189" Type="http://schemas.openxmlformats.org/officeDocument/2006/relationships/hyperlink" Target="https://ec.europa.eu/clima/sites/clima/files/ets/registry/docs/compliance_2018_code_en.xlsx" TargetMode="External"/><Relationship Id="rId3" Type="http://schemas.openxmlformats.org/officeDocument/2006/relationships/hyperlink" Target="https://ec.europa.eu/clima/sites/clima/files/ets/registry/docs/verified_emissions_2018_en.xlsx" TargetMode="External"/><Relationship Id="rId214" Type="http://schemas.openxmlformats.org/officeDocument/2006/relationships/hyperlink" Target="https://ec.europa.eu/clima/sites/clima/files/ets/registry/docs/compliance_2018_code_en.xlsx" TargetMode="External"/><Relationship Id="rId25" Type="http://schemas.openxmlformats.org/officeDocument/2006/relationships/hyperlink" Target="https://prtr.eea.europa.eu/" TargetMode="External"/><Relationship Id="rId46" Type="http://schemas.openxmlformats.org/officeDocument/2006/relationships/hyperlink" Target="https://prtr.eea.europa.eu/" TargetMode="External"/><Relationship Id="rId67" Type="http://schemas.openxmlformats.org/officeDocument/2006/relationships/hyperlink" Target="https://prtr.eea.europa.eu/" TargetMode="External"/><Relationship Id="rId116" Type="http://schemas.openxmlformats.org/officeDocument/2006/relationships/hyperlink" Target="https://ec.europa.eu/clima/sites/clima/files/ets/registry/docs/compliance_2018_code_en.xlsx" TargetMode="External"/><Relationship Id="rId137" Type="http://schemas.openxmlformats.org/officeDocument/2006/relationships/hyperlink" Target="https://ec.europa.eu/clima/sites/clima/files/ets/registry/docs/verified_emissions_2018_en.xlsx" TargetMode="External"/><Relationship Id="rId158" Type="http://schemas.openxmlformats.org/officeDocument/2006/relationships/hyperlink" Target="https://ec.europa.eu/clima/sites/clima/files/ets/registry/docs/compliance_2018_code_en.xlsx" TargetMode="External"/><Relationship Id="rId20" Type="http://schemas.openxmlformats.org/officeDocument/2006/relationships/hyperlink" Target="https://prtr.eea.europa.eu/" TargetMode="External"/><Relationship Id="rId41" Type="http://schemas.openxmlformats.org/officeDocument/2006/relationships/hyperlink" Target="https://prtr.eea.europa.eu/" TargetMode="External"/><Relationship Id="rId62" Type="http://schemas.openxmlformats.org/officeDocument/2006/relationships/hyperlink" Target="https://ec.europa.eu/clima/sites/clima/files/ets/registry/docs/compliance_2018_code_en.xlsx" TargetMode="External"/><Relationship Id="rId83" Type="http://schemas.openxmlformats.org/officeDocument/2006/relationships/hyperlink" Target="https://ec.europa.eu/clima/sites/clima/files/ets/registry/docs/verified_emissions_2018_en.xlsx" TargetMode="External"/><Relationship Id="rId88" Type="http://schemas.openxmlformats.org/officeDocument/2006/relationships/hyperlink" Target="https://ec.europa.eu/clima/sites/clima/files/ets/registry/docs/compliance_2018_code_en.xlsx" TargetMode="External"/><Relationship Id="rId111" Type="http://schemas.openxmlformats.org/officeDocument/2006/relationships/hyperlink" Target="https://ec.europa.eu/clima/sites/clima/files/ets/registry/docs/compliance_2018_code_en.xlsx" TargetMode="External"/><Relationship Id="rId132" Type="http://schemas.openxmlformats.org/officeDocument/2006/relationships/hyperlink" Target="https://ec.europa.eu/clima/sites/clima/files/ets/registry/docs/compliance_2018_code_en.xlsx" TargetMode="External"/><Relationship Id="rId153" Type="http://schemas.openxmlformats.org/officeDocument/2006/relationships/hyperlink" Target="https://prtr.eea.europa.eu/" TargetMode="External"/><Relationship Id="rId174" Type="http://schemas.openxmlformats.org/officeDocument/2006/relationships/hyperlink" Target="https://apambiente.pt/_zdata/Inventario/Setembro2019/SpatialAllocationEmissions2019.xlsx" TargetMode="External"/><Relationship Id="rId179" Type="http://schemas.openxmlformats.org/officeDocument/2006/relationships/hyperlink" Target="https://ec.europa.eu/clima/sites/clima/files/ets/registry/docs/verified_emissions_2018_en.xlsx" TargetMode="External"/><Relationship Id="rId195" Type="http://schemas.openxmlformats.org/officeDocument/2006/relationships/hyperlink" Target="https://prtr.eea.europa.eu/" TargetMode="External"/><Relationship Id="rId209" Type="http://schemas.openxmlformats.org/officeDocument/2006/relationships/hyperlink" Target="https://ec.europa.eu/clima/sites/clima/files/ets/registry/docs/compliance_2018_code_en.xlsx" TargetMode="External"/><Relationship Id="rId190" Type="http://schemas.openxmlformats.org/officeDocument/2006/relationships/hyperlink" Target="https://prtr.eea.europa.eu/" TargetMode="External"/><Relationship Id="rId204" Type="http://schemas.openxmlformats.org/officeDocument/2006/relationships/hyperlink" Target="https://ec.europa.eu/clima/sites/clima/files/ets/registry/docs/compliance_2018_code_en.xlsx" TargetMode="External"/><Relationship Id="rId15" Type="http://schemas.openxmlformats.org/officeDocument/2006/relationships/hyperlink" Target="https://prtr.eea.europa.eu/" TargetMode="External"/><Relationship Id="rId36" Type="http://schemas.openxmlformats.org/officeDocument/2006/relationships/hyperlink" Target="https://ec.europa.eu/clima/sites/clima/files/ets/registry/docs/compliance_2018_code_en.xlsx" TargetMode="External"/><Relationship Id="rId57" Type="http://schemas.openxmlformats.org/officeDocument/2006/relationships/hyperlink" Target="https://ec.europa.eu/clima/sites/clima/files/ets/registry/docs/compliance_2018_code_en.xlsx" TargetMode="External"/><Relationship Id="rId106" Type="http://schemas.openxmlformats.org/officeDocument/2006/relationships/hyperlink" Target="https://prtr.eea.europa.eu/" TargetMode="External"/><Relationship Id="rId127" Type="http://schemas.openxmlformats.org/officeDocument/2006/relationships/hyperlink" Target="https://ec.europa.eu/clima/sites/clima/files/ets/registry/docs/compliance_2018_code_en.xlsx" TargetMode="External"/><Relationship Id="rId10" Type="http://schemas.openxmlformats.org/officeDocument/2006/relationships/hyperlink" Target="https://ec.europa.eu/clima/sites/clima/files/ets/registry/docs/verified_emissions_2018_en.xlsx" TargetMode="External"/><Relationship Id="rId31" Type="http://schemas.openxmlformats.org/officeDocument/2006/relationships/hyperlink" Target="https://prtr.eea.europa.eu/" TargetMode="External"/><Relationship Id="rId52" Type="http://schemas.openxmlformats.org/officeDocument/2006/relationships/hyperlink" Target="https://prtr.eea.europa.eu/" TargetMode="External"/><Relationship Id="rId73" Type="http://schemas.openxmlformats.org/officeDocument/2006/relationships/hyperlink" Target="https://apambiente.pt/_zdata/Inventario/Setembro2019/SpatialAllocationEmissions2019.xlsx" TargetMode="External"/><Relationship Id="rId78" Type="http://schemas.openxmlformats.org/officeDocument/2006/relationships/hyperlink" Target="https://ec.europa.eu/clima/sites/clima/files/ets/registry/docs/verified_emissions_2018_en.xlsx" TargetMode="External"/><Relationship Id="rId94" Type="http://schemas.openxmlformats.org/officeDocument/2006/relationships/hyperlink" Target="https://prtr.eea.europa.eu/" TargetMode="External"/><Relationship Id="rId99" Type="http://schemas.openxmlformats.org/officeDocument/2006/relationships/hyperlink" Target="https://prtr.eea.europa.eu/" TargetMode="External"/><Relationship Id="rId101" Type="http://schemas.openxmlformats.org/officeDocument/2006/relationships/hyperlink" Target="https://prtr.eea.europa.eu/" TargetMode="External"/><Relationship Id="rId122" Type="http://schemas.openxmlformats.org/officeDocument/2006/relationships/hyperlink" Target="https://ec.europa.eu/clima/sites/clima/files/ets/registry/docs/compliance_2018_code_en.xlsx" TargetMode="External"/><Relationship Id="rId143" Type="http://schemas.openxmlformats.org/officeDocument/2006/relationships/hyperlink" Target="https://ec.europa.eu/clima/sites/clima/files/ets/registry/docs/compliance_2018_code_en.xlsx" TargetMode="External"/><Relationship Id="rId148" Type="http://schemas.openxmlformats.org/officeDocument/2006/relationships/hyperlink" Target="https://ec.europa.eu/clima/sites/clima/files/ets/registry/docs/compliance_2018_code_en.xlsx" TargetMode="External"/><Relationship Id="rId164" Type="http://schemas.openxmlformats.org/officeDocument/2006/relationships/hyperlink" Target="https://prtr.eea.europa.eu/" TargetMode="External"/><Relationship Id="rId169" Type="http://schemas.openxmlformats.org/officeDocument/2006/relationships/hyperlink" Target="https://ec.europa.eu/clima/sites/clima/files/ets/registry/docs/compliance_2018_code_en.xlsx" TargetMode="External"/><Relationship Id="rId185" Type="http://schemas.openxmlformats.org/officeDocument/2006/relationships/hyperlink" Target="https://ec.europa.eu/clima/sites/clima/files/ets/registry/docs/compliance_2018_code_en.xlsx" TargetMode="External"/><Relationship Id="rId4" Type="http://schemas.openxmlformats.org/officeDocument/2006/relationships/hyperlink" Target="https://ec.europa.eu/clima/sites/clima/files/ets/registry/docs/verified_emissions_2018_en.xlsx" TargetMode="External"/><Relationship Id="rId9" Type="http://schemas.openxmlformats.org/officeDocument/2006/relationships/hyperlink" Target="https://prtr.eea.europa.eu/" TargetMode="External"/><Relationship Id="rId180" Type="http://schemas.openxmlformats.org/officeDocument/2006/relationships/hyperlink" Target="https://prtr.eea.europa.eu/" TargetMode="External"/><Relationship Id="rId210" Type="http://schemas.openxmlformats.org/officeDocument/2006/relationships/hyperlink" Target="https://ec.europa.eu/clima/sites/clima/files/ets/registry/docs/compliance_2018_code_en.xlsx" TargetMode="External"/><Relationship Id="rId215" Type="http://schemas.openxmlformats.org/officeDocument/2006/relationships/hyperlink" Target="https://ec.europa.eu/clima/sites/clima/files/ets/registry/docs/compliance_2018_code_en.xlsx" TargetMode="External"/><Relationship Id="rId26" Type="http://schemas.openxmlformats.org/officeDocument/2006/relationships/hyperlink" Target="https://ec.europa.eu/clima/sites/clima/files/ets/registry/docs/compliance_2018_code_en.xlsx" TargetMode="External"/><Relationship Id="rId47" Type="http://schemas.openxmlformats.org/officeDocument/2006/relationships/hyperlink" Target="https://ec.europa.eu/clima/sites/clima/files/ets/registry/docs/verified_emissions_2018_en.xlsx" TargetMode="External"/><Relationship Id="rId68" Type="http://schemas.openxmlformats.org/officeDocument/2006/relationships/hyperlink" Target="https://ec.europa.eu/clima/sites/clima/files/ets/registry/docs/compliance_2018_code_en.xlsx" TargetMode="External"/><Relationship Id="rId89" Type="http://schemas.openxmlformats.org/officeDocument/2006/relationships/hyperlink" Target="https://ec.europa.eu/clima/sites/clima/files/ets/registry/docs/verified_emissions_2018_en.xlsx" TargetMode="External"/><Relationship Id="rId112" Type="http://schemas.openxmlformats.org/officeDocument/2006/relationships/hyperlink" Target="https://prtr.eea.europa.eu/" TargetMode="External"/><Relationship Id="rId133" Type="http://schemas.openxmlformats.org/officeDocument/2006/relationships/hyperlink" Target="https://ec.europa.eu/clima/sites/clima/files/ets/registry/docs/compliance_2018_code_en.xlsx" TargetMode="External"/><Relationship Id="rId154" Type="http://schemas.openxmlformats.org/officeDocument/2006/relationships/hyperlink" Target="https://prtr.eea.europa.eu/" TargetMode="External"/><Relationship Id="rId175" Type="http://schemas.openxmlformats.org/officeDocument/2006/relationships/hyperlink" Target="https://ec.europa.eu/clima/sites/clima/files/ets/registry/docs/compliance_2018_code_en.xlsx" TargetMode="External"/><Relationship Id="rId196" Type="http://schemas.openxmlformats.org/officeDocument/2006/relationships/hyperlink" Target="https://ec.europa.eu/clima/sites/clima/files/ets/registry/docs/compliance_2018_code_en.xlsx" TargetMode="External"/><Relationship Id="rId200" Type="http://schemas.openxmlformats.org/officeDocument/2006/relationships/hyperlink" Target="https://ec.europa.eu/clima/sites/clima/files/ets/registry/docs/compliance_2018_code_en.xlsx" TargetMode="External"/><Relationship Id="rId16" Type="http://schemas.openxmlformats.org/officeDocument/2006/relationships/hyperlink" Target="https://ec.europa.eu/clima/sites/clima/files/ets/registry/docs/verified_emissions_2018_en.xlsx" TargetMode="External"/><Relationship Id="rId37" Type="http://schemas.openxmlformats.org/officeDocument/2006/relationships/hyperlink" Target="https://prtr.eea.europa.eu/" TargetMode="External"/><Relationship Id="rId58" Type="http://schemas.openxmlformats.org/officeDocument/2006/relationships/hyperlink" Target="https://prtr.eea.europa.eu/" TargetMode="External"/><Relationship Id="rId79" Type="http://schemas.openxmlformats.org/officeDocument/2006/relationships/hyperlink" Target="https://ec.europa.eu/clima/sites/clima/files/ets/registry/docs/verified_emissions_2018_en.xlsx" TargetMode="External"/><Relationship Id="rId102" Type="http://schemas.openxmlformats.org/officeDocument/2006/relationships/hyperlink" Target="https://prtr.eea.europa.eu/" TargetMode="External"/><Relationship Id="rId123" Type="http://schemas.openxmlformats.org/officeDocument/2006/relationships/hyperlink" Target="https://prtr.eea.europa.eu/" TargetMode="External"/><Relationship Id="rId144" Type="http://schemas.openxmlformats.org/officeDocument/2006/relationships/hyperlink" Target="https://ec.europa.eu/clima/sites/clima/files/ets/registry/docs/compliance_2018_code_en.xlsx" TargetMode="External"/><Relationship Id="rId90" Type="http://schemas.openxmlformats.org/officeDocument/2006/relationships/hyperlink" Target="https://prtr.eea.europa.eu/" TargetMode="External"/><Relationship Id="rId165" Type="http://schemas.openxmlformats.org/officeDocument/2006/relationships/hyperlink" Target="https://ec.europa.eu/clima/sites/clima/files/ets/registry/docs/compliance_2018_code_en.xlsx" TargetMode="External"/><Relationship Id="rId186" Type="http://schemas.openxmlformats.org/officeDocument/2006/relationships/hyperlink" Target="https://ec.europa.eu/clima/sites/clima/files/ets/registry/docs/compliance_2018_code_en.xlsx" TargetMode="External"/><Relationship Id="rId211" Type="http://schemas.openxmlformats.org/officeDocument/2006/relationships/hyperlink" Target="https://ec.europa.eu/clima/sites/clima/files/ets/registry/docs/compliance_2018_code_en.xlsx" TargetMode="External"/><Relationship Id="rId27" Type="http://schemas.openxmlformats.org/officeDocument/2006/relationships/hyperlink" Target="https://apambiente.pt/_zdata/Inventario/Setembro2019/SpatialAllocationEmissions2019.xlsx" TargetMode="External"/><Relationship Id="rId48" Type="http://schemas.openxmlformats.org/officeDocument/2006/relationships/hyperlink" Target="https://ec.europa.eu/clima/sites/clima/files/ets/registry/docs/compliance_2018_code_en.xlsx" TargetMode="External"/><Relationship Id="rId69" Type="http://schemas.openxmlformats.org/officeDocument/2006/relationships/hyperlink" Target="https://ec.europa.eu/clima/sites/clima/files/ets/registry/docs/compliance_2018_code_en.xlsx" TargetMode="External"/><Relationship Id="rId113" Type="http://schemas.openxmlformats.org/officeDocument/2006/relationships/hyperlink" Target="https://prtr.eea.europa.eu/" TargetMode="External"/><Relationship Id="rId134" Type="http://schemas.openxmlformats.org/officeDocument/2006/relationships/hyperlink" Target="https://prtr.eea.europa.eu/" TargetMode="External"/><Relationship Id="rId80" Type="http://schemas.openxmlformats.org/officeDocument/2006/relationships/hyperlink" Target="https://ec.europa.eu/clima/sites/clima/files/ets/registry/docs/compliance_2018_code_en.xlsx" TargetMode="External"/><Relationship Id="rId155" Type="http://schemas.openxmlformats.org/officeDocument/2006/relationships/hyperlink" Target="https://prtr.eea.europa.eu/" TargetMode="External"/><Relationship Id="rId176" Type="http://schemas.openxmlformats.org/officeDocument/2006/relationships/hyperlink" Target="https://ec.europa.eu/clima/sites/clima/files/ets/registry/docs/compliance_2018_code_en.xlsx" TargetMode="External"/><Relationship Id="rId197" Type="http://schemas.openxmlformats.org/officeDocument/2006/relationships/hyperlink" Target="https://prtr.eea.europa.eu/" TargetMode="External"/><Relationship Id="rId201" Type="http://schemas.openxmlformats.org/officeDocument/2006/relationships/hyperlink" Target="https://prtr.eea.europa.eu/" TargetMode="External"/><Relationship Id="rId17" Type="http://schemas.openxmlformats.org/officeDocument/2006/relationships/hyperlink" Target="https://prtr.eea.europa.eu/" TargetMode="External"/><Relationship Id="rId38" Type="http://schemas.openxmlformats.org/officeDocument/2006/relationships/hyperlink" Target="https://prtr.eea.europa.eu/" TargetMode="External"/><Relationship Id="rId59" Type="http://schemas.openxmlformats.org/officeDocument/2006/relationships/hyperlink" Target="https://ec.europa.eu/clima/sites/clima/files/ets/registry/docs/compliance_2018_code_en.xlsx" TargetMode="External"/><Relationship Id="rId103" Type="http://schemas.openxmlformats.org/officeDocument/2006/relationships/hyperlink" Target="https://ec.europa.eu/clima/sites/clima/files/ets/registry/docs/compliance_2018_code_en.xlsx" TargetMode="External"/><Relationship Id="rId124" Type="http://schemas.openxmlformats.org/officeDocument/2006/relationships/hyperlink" Target="https://ec.europa.eu/clima/sites/clima/files/ets/registry/docs/compliance_2018_code_en.xlsx" TargetMode="External"/><Relationship Id="rId70" Type="http://schemas.openxmlformats.org/officeDocument/2006/relationships/hyperlink" Target="https://prtr.eea.europa.eu/" TargetMode="External"/><Relationship Id="rId91" Type="http://schemas.openxmlformats.org/officeDocument/2006/relationships/hyperlink" Target="https://ec.europa.eu/clima/sites/clima/files/ets/registry/docs/verified_emissions_2018_en.xlsx" TargetMode="External"/><Relationship Id="rId145" Type="http://schemas.openxmlformats.org/officeDocument/2006/relationships/hyperlink" Target="https://prtr.eea.europa.eu/" TargetMode="External"/><Relationship Id="rId166" Type="http://schemas.openxmlformats.org/officeDocument/2006/relationships/hyperlink" Target="https://ec.europa.eu/clima/sites/clima/files/ets/registry/docs/verified_emissions_2018_en.xlsx" TargetMode="External"/><Relationship Id="rId187" Type="http://schemas.openxmlformats.org/officeDocument/2006/relationships/hyperlink" Target="https://ec.europa.eu/clima/sites/clima/files/ets/registry/docs/compliance_2018_code_en.xlsx" TargetMode="External"/><Relationship Id="rId1" Type="http://schemas.openxmlformats.org/officeDocument/2006/relationships/hyperlink" Target="https://prtr.eea.europa.eu/" TargetMode="External"/><Relationship Id="rId212" Type="http://schemas.openxmlformats.org/officeDocument/2006/relationships/hyperlink" Target="https://ec.europa.eu/clima/sites/clima/files/ets/registry/docs/compliance_2018_code_en.xlsx" TargetMode="External"/><Relationship Id="rId28" Type="http://schemas.openxmlformats.org/officeDocument/2006/relationships/hyperlink" Target="https://prtr.eea.europa.eu/" TargetMode="External"/><Relationship Id="rId49" Type="http://schemas.openxmlformats.org/officeDocument/2006/relationships/hyperlink" Target="https://ec.europa.eu/clima/sites/clima/files/ets/registry/docs/compliance_2018_code_en.xlsx" TargetMode="External"/><Relationship Id="rId114" Type="http://schemas.openxmlformats.org/officeDocument/2006/relationships/hyperlink" Target="https://prtr.eea.europa.eu/" TargetMode="External"/><Relationship Id="rId60" Type="http://schemas.openxmlformats.org/officeDocument/2006/relationships/hyperlink" Target="https://ec.europa.eu/clima/sites/clima/files/ets/registry/docs/compliance_2018_code_en.xlsx" TargetMode="External"/><Relationship Id="rId81" Type="http://schemas.openxmlformats.org/officeDocument/2006/relationships/hyperlink" Target="https://ec.europa.eu/clima/sites/clima/files/ets/registry/docs/verified_emissions_2018_en.xlsx" TargetMode="External"/><Relationship Id="rId135" Type="http://schemas.openxmlformats.org/officeDocument/2006/relationships/hyperlink" Target="https://ec.europa.eu/clima/sites/clima/files/ets/registry/docs/compliance_2018_code_en.xlsx" TargetMode="External"/><Relationship Id="rId156" Type="http://schemas.openxmlformats.org/officeDocument/2006/relationships/hyperlink" Target="https://ec.europa.eu/clima/sites/clima/files/ets/registry/docs/compliance_2018_code_en.xlsx" TargetMode="External"/><Relationship Id="rId177" Type="http://schemas.openxmlformats.org/officeDocument/2006/relationships/hyperlink" Target="https://ec.europa.eu/clima/sites/clima/files/ets/registry/docs/compliance_2018_code_en.xlsx" TargetMode="External"/><Relationship Id="rId198" Type="http://schemas.openxmlformats.org/officeDocument/2006/relationships/hyperlink" Target="https://ec.europa.eu/clima/sites/clima/files/ets/registry/docs/compliance_2018_code_en.xlsx" TargetMode="External"/><Relationship Id="rId202" Type="http://schemas.openxmlformats.org/officeDocument/2006/relationships/hyperlink" Target="https://ec.europa.eu/clima/sites/clima/files/ets/registry/docs/compliance_2018_code_en.xlsx" TargetMode="External"/><Relationship Id="rId18" Type="http://schemas.openxmlformats.org/officeDocument/2006/relationships/hyperlink" Target="https://prtr.eea.europa.eu/" TargetMode="External"/><Relationship Id="rId39" Type="http://schemas.openxmlformats.org/officeDocument/2006/relationships/hyperlink" Target="https://ec.europa.eu/clima/sites/clima/files/ets/registry/docs/compliance_2018_code_en.xlsx" TargetMode="External"/><Relationship Id="rId50" Type="http://schemas.openxmlformats.org/officeDocument/2006/relationships/hyperlink" Target="https://ec.europa.eu/clima/sites/clima/files/ets/registry/docs/compliance_2018_code_en.xlsx" TargetMode="External"/><Relationship Id="rId104" Type="http://schemas.openxmlformats.org/officeDocument/2006/relationships/hyperlink" Target="https://ec.europa.eu/clima/sites/clima/files/ets/registry/docs/compliance_2018_code_en.xlsx" TargetMode="External"/><Relationship Id="rId125" Type="http://schemas.openxmlformats.org/officeDocument/2006/relationships/hyperlink" Target="https://ec.europa.eu/clima/sites/clima/files/ets/registry/docs/compliance_2018_code_en.xlsx" TargetMode="External"/><Relationship Id="rId146" Type="http://schemas.openxmlformats.org/officeDocument/2006/relationships/hyperlink" Target="https://ec.europa.eu/clima/sites/clima/files/ets/registry/docs/compliance_2018_code_en.xlsx" TargetMode="External"/><Relationship Id="rId167" Type="http://schemas.openxmlformats.org/officeDocument/2006/relationships/hyperlink" Target="https://ec.europa.eu/clima/sites/clima/files/ets/registry/docs/compliance_2018_code_en.xlsx" TargetMode="External"/><Relationship Id="rId188" Type="http://schemas.openxmlformats.org/officeDocument/2006/relationships/hyperlink" Target="https://ec.europa.eu/clima/sites/clima/files/ets/registry/docs/compliance_2018_code_en.xlsx" TargetMode="External"/><Relationship Id="rId71" Type="http://schemas.openxmlformats.org/officeDocument/2006/relationships/hyperlink" Target="https://ec.europa.eu/clima/sites/clima/files/ets/registry/docs/compliance_2018_code_en.xlsx" TargetMode="External"/><Relationship Id="rId92" Type="http://schemas.openxmlformats.org/officeDocument/2006/relationships/hyperlink" Target="https://ec.europa.eu/clima/sites/clima/files/ets/registry/docs/verified_emissions_2018_en.xlsx" TargetMode="External"/><Relationship Id="rId213" Type="http://schemas.openxmlformats.org/officeDocument/2006/relationships/hyperlink" Target="https://ec.europa.eu/clima/sites/clima/files/ets/registry/docs/compliance_2018_code_en.xlsx" TargetMode="External"/><Relationship Id="rId2" Type="http://schemas.openxmlformats.org/officeDocument/2006/relationships/hyperlink" Target="https://prtr.eea.europa.eu/" TargetMode="External"/><Relationship Id="rId29" Type="http://schemas.openxmlformats.org/officeDocument/2006/relationships/hyperlink" Target="https://prtr.eea.europa.eu/" TargetMode="External"/><Relationship Id="rId40" Type="http://schemas.openxmlformats.org/officeDocument/2006/relationships/hyperlink" Target="https://prtr.eea.europa.eu/" TargetMode="External"/><Relationship Id="rId115" Type="http://schemas.openxmlformats.org/officeDocument/2006/relationships/hyperlink" Target="https://ec.europa.eu/clima/sites/clima/files/ets/registry/docs/compliance_2018_code_en.xlsx" TargetMode="External"/><Relationship Id="rId136" Type="http://schemas.openxmlformats.org/officeDocument/2006/relationships/hyperlink" Target="https://ec.europa.eu/clima/sites/clima/files/ets/registry/docs/compliance_2018_code_en.xlsx" TargetMode="External"/><Relationship Id="rId157" Type="http://schemas.openxmlformats.org/officeDocument/2006/relationships/hyperlink" Target="https://prtr.eea.europa.eu/" TargetMode="External"/><Relationship Id="rId178" Type="http://schemas.openxmlformats.org/officeDocument/2006/relationships/hyperlink" Target="https://ec.europa.eu/clima/sites/clima/files/ets/registry/docs/compliance_2018_code_en.xlsx" TargetMode="External"/><Relationship Id="rId61" Type="http://schemas.openxmlformats.org/officeDocument/2006/relationships/hyperlink" Target="https://prtr.eea.europa.eu/" TargetMode="External"/><Relationship Id="rId82" Type="http://schemas.openxmlformats.org/officeDocument/2006/relationships/hyperlink" Target="https://prtr.eea.europa.eu/" TargetMode="External"/><Relationship Id="rId199" Type="http://schemas.openxmlformats.org/officeDocument/2006/relationships/hyperlink" Target="https://prtr.eea.europa.eu/" TargetMode="External"/><Relationship Id="rId203" Type="http://schemas.openxmlformats.org/officeDocument/2006/relationships/hyperlink" Target="https://ec.europa.eu/clima/sites/clima/files/ets/registry/docs/compliance_2018_code_en.xlsx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articipa.pt/pt/consulta/ampliacao-da-pedreira-de-monte-chaos" TargetMode="External"/><Relationship Id="rId18" Type="http://schemas.openxmlformats.org/officeDocument/2006/relationships/hyperlink" Target="https://www.portugal.gov.pt/pt/gc22/comunicacao/documento?i=plano-de-recuperacao-e-resiliencia-recuperar-portugal-2021-2026-plano-preliminar-" TargetMode="External"/><Relationship Id="rId26" Type="http://schemas.openxmlformats.org/officeDocument/2006/relationships/hyperlink" Target="https://www.portugal.gov.pt/pt/gc22/comunicacao/documento?i=apresentacao-do-programa-nacional-de-investimentos-para-2030" TargetMode="External"/><Relationship Id="rId39" Type="http://schemas.openxmlformats.org/officeDocument/2006/relationships/hyperlink" Target="https://www.portugal.gov.pt/pt/gc22/comunicacao/documento?i=apresentacao-do-programa-nacional-de-investimentos-para-2030" TargetMode="External"/><Relationship Id="rId21" Type="http://schemas.openxmlformats.org/officeDocument/2006/relationships/hyperlink" Target="https://participa.pt/pt/consulta/aprofundamento-e-alargamento-do-canal-navegacao-do-porto-de-portimao" TargetMode="External"/><Relationship Id="rId34" Type="http://schemas.openxmlformats.org/officeDocument/2006/relationships/hyperlink" Target="https://www.portugal.gov.pt/pt/gc22/comunicacao/documento?i=apresentacao-do-programa-nacional-de-investimentos-para-2030" TargetMode="External"/><Relationship Id="rId42" Type="http://schemas.openxmlformats.org/officeDocument/2006/relationships/hyperlink" Target="https://www.portugal.gov.pt/pt/gc22/comunicacao/documento?i=apresentacao-do-programa-nacional-de-investimentos-para-2030" TargetMode="External"/><Relationship Id="rId47" Type="http://schemas.openxmlformats.org/officeDocument/2006/relationships/hyperlink" Target="https://participa.pt/pt/consulta/instalacao-avicola-da-valeira-baixa" TargetMode="External"/><Relationship Id="rId50" Type="http://schemas.openxmlformats.org/officeDocument/2006/relationships/hyperlink" Target="https://participa.pt/pt/consulta/ampliacao-da-pedreira-n-5111-sorte-do-mato-das-lagedas" TargetMode="External"/><Relationship Id="rId55" Type="http://schemas.openxmlformats.org/officeDocument/2006/relationships/hyperlink" Target="https://participa.pt/pt/consulta/projeto-da-ampliacao-da-pedreira-no-6598-caminho-velho" TargetMode="External"/><Relationship Id="rId7" Type="http://schemas.openxmlformats.org/officeDocument/2006/relationships/hyperlink" Target="https://www.ana.pt/pt/institucional/imprensa/2019/01/09/ana-vinci-airports-assina-acordo-com-o-governo-portugues-para-financiar-a-expansao-da-capacidade-do-aeroporto-de-lisboa-" TargetMode="External"/><Relationship Id="rId2" Type="http://schemas.openxmlformats.org/officeDocument/2006/relationships/hyperlink" Target="https://www.ren.pt/en-GB/media/comunicados/detalhe/ren_gets_funding_from_the_european_commission_for_projects_in_the_natural_gas_and_electricity/" TargetMode="External"/><Relationship Id="rId16" Type="http://schemas.openxmlformats.org/officeDocument/2006/relationships/hyperlink" Target="https://www.portugal.gov.pt/pt/gc22/comunicacao/documento?i=plano-de-recuperacao-e-resiliencia-recuperar-portugal-2021-2026-plano-preliminar-" TargetMode="External"/><Relationship Id="rId29" Type="http://schemas.openxmlformats.org/officeDocument/2006/relationships/hyperlink" Target="https://www.portugal.gov.pt/pt/gc22/comunicacao/documento?i=apresentacao-do-programa-nacional-de-investimentos-para-2030" TargetMode="External"/><Relationship Id="rId11" Type="http://schemas.openxmlformats.org/officeDocument/2006/relationships/hyperlink" Target="https://viseunow.pt/mortagua-instalacao-de-nova-central-de-biomassa-florestal/" TargetMode="External"/><Relationship Id="rId24" Type="http://schemas.openxmlformats.org/officeDocument/2006/relationships/hyperlink" Target="https://www.portugal.gov.pt/pt/gc22/comunicacao/documento?i=apresentacao-do-programa-nacional-de-investimentos-para-2030" TargetMode="External"/><Relationship Id="rId32" Type="http://schemas.openxmlformats.org/officeDocument/2006/relationships/hyperlink" Target="https://www.portugal.gov.pt/pt/gc22/comunicacao/documento?i=apresentacao-do-programa-nacional-de-investimentos-para-2030" TargetMode="External"/><Relationship Id="rId37" Type="http://schemas.openxmlformats.org/officeDocument/2006/relationships/hyperlink" Target="https://www.portugal.gov.pt/pt/gc22/comunicacao/documento?i=apresentacao-do-programa-nacional-de-investimentos-para-2030" TargetMode="External"/><Relationship Id="rId40" Type="http://schemas.openxmlformats.org/officeDocument/2006/relationships/hyperlink" Target="https://www.portugal.gov.pt/pt/gc22/comunicacao/documento?i=apresentacao-do-programa-nacional-de-investimentos-para-2030" TargetMode="External"/><Relationship Id="rId45" Type="http://schemas.openxmlformats.org/officeDocument/2006/relationships/hyperlink" Target="https://participa.pt/pt/consulta/licenciamento-ambiental-dourado-quotidiano" TargetMode="External"/><Relationship Id="rId53" Type="http://schemas.openxmlformats.org/officeDocument/2006/relationships/hyperlink" Target="https://participa.pt/pt/consulta/pedreira-carrascal" TargetMode="External"/><Relationship Id="rId58" Type="http://schemas.openxmlformats.org/officeDocument/2006/relationships/hyperlink" Target="https://participa.pt/pt/consulta/ampliacao-e-fusao-das-pedreiras-n-6476-n-5123-n-5135-e-n-5133" TargetMode="External"/><Relationship Id="rId5" Type="http://schemas.openxmlformats.org/officeDocument/2006/relationships/hyperlink" Target="https://www.ana.pt/pt/institucional/imprensa/2019/01/09/ana-vinci-airports-assina-acordo-com-o-governo-portugues-para-financiar-a-expansao-da-capacidade-do-aeroporto-de-lisboa-" TargetMode="External"/><Relationship Id="rId19" Type="http://schemas.openxmlformats.org/officeDocument/2006/relationships/hyperlink" Target="https://www.portugal.gov.pt/pt/gc22/comunicacao/documento?i=plano-de-recuperacao-e-resiliencia-recuperar-portugal-2021-2026-plano-preliminar-" TargetMode="External"/><Relationship Id="rId4" Type="http://schemas.openxmlformats.org/officeDocument/2006/relationships/hyperlink" Target="https://www.ana.pt/pt/institucional/imprensa/2019/01/09/ana-vinci-airports-assina-acordo-com-o-governo-portugues-para-financiar-a-expansao-da-capacidade-do-aeroporto-de-lisboa-" TargetMode="External"/><Relationship Id="rId9" Type="http://schemas.openxmlformats.org/officeDocument/2006/relationships/hyperlink" Target="https://24.sapo.pt/atualidade/artigos/obras-de-expansao-do-terminal-xxi-do-porto-de-sines-arrancam-em-janeiro-de-2021" TargetMode="External"/><Relationship Id="rId14" Type="http://schemas.openxmlformats.org/officeDocument/2006/relationships/hyperlink" Target="http://mapadominerio.auportugal.eu/index.html" TargetMode="External"/><Relationship Id="rId22" Type="http://schemas.openxmlformats.org/officeDocument/2006/relationships/hyperlink" Target="https://www.portugal.gov.pt/pt/gc22/comunicacao/documento?i=apresentacao-do-programa-nacional-de-investimentos-para-2030" TargetMode="External"/><Relationship Id="rId27" Type="http://schemas.openxmlformats.org/officeDocument/2006/relationships/hyperlink" Target="https://www.portugal.gov.pt/pt/gc22/comunicacao/documento?i=apresentacao-do-programa-nacional-de-investimentos-para-2030" TargetMode="External"/><Relationship Id="rId30" Type="http://schemas.openxmlformats.org/officeDocument/2006/relationships/hyperlink" Target="https://www.portugal.gov.pt/pt/gc22/comunicacao/documento?i=apresentacao-do-programa-nacional-de-investimentos-para-2030" TargetMode="External"/><Relationship Id="rId35" Type="http://schemas.openxmlformats.org/officeDocument/2006/relationships/hyperlink" Target="https://www.portugal.gov.pt/pt/gc22/comunicacao/documento?i=apresentacao-do-programa-nacional-de-investimentos-para-2030" TargetMode="External"/><Relationship Id="rId43" Type="http://schemas.openxmlformats.org/officeDocument/2006/relationships/hyperlink" Target="https://www.portugal.gov.pt/pt/gc22/comunicacao/documento?i=apresentacao-do-programa-nacional-de-investimentos-para-2030" TargetMode="External"/><Relationship Id="rId48" Type="http://schemas.openxmlformats.org/officeDocument/2006/relationships/hyperlink" Target="https://participa.pt/pt/consulta/consulta-publica-do-projeto-da-instalacao-avicola-de-proenca-a-nova" TargetMode="External"/><Relationship Id="rId56" Type="http://schemas.openxmlformats.org/officeDocument/2006/relationships/hyperlink" Target="https://participa.pt/pt/consulta/consulta-publica-do-projeto-de-ampliacao-da-pedreira-no-6560-barreiras-carapinhal" TargetMode="External"/><Relationship Id="rId8" Type="http://schemas.openxmlformats.org/officeDocument/2006/relationships/hyperlink" Target="https://www.ana.pt/pt/institucional/imprensa/2019/01/09/ana-vinci-airports-assina-acordo-com-o-governo-portugues-para-financiar-a-expansao-da-capacidade-do-aeroporto-de-lisboa-" TargetMode="External"/><Relationship Id="rId51" Type="http://schemas.openxmlformats.org/officeDocument/2006/relationships/hyperlink" Target="https://participa.pt/pt/consulta/ampliacao-e-fusao-das-pedreiras-no-4868-poco-negro-no-3-no-4811-vilar-no-5-e-no-5550poco-no-4" TargetMode="External"/><Relationship Id="rId3" Type="http://schemas.openxmlformats.org/officeDocument/2006/relationships/hyperlink" Target="http://www.snmportugal.pt/Contestacao_EIA_Novo_Aeroporto_de_Montijo.pdf" TargetMode="External"/><Relationship Id="rId12" Type="http://schemas.openxmlformats.org/officeDocument/2006/relationships/hyperlink" Target="https://participa.pt/pt/consulta/aprofundamento-da-barra-canal-de-acesso-e-bacia-de-manobras-do-porto-da-ffoz" TargetMode="External"/><Relationship Id="rId17" Type="http://schemas.openxmlformats.org/officeDocument/2006/relationships/hyperlink" Target="https://www.portugal.gov.pt/pt/gc22/comunicacao/documento?i=plano-de-recuperacao-e-resiliencia-recuperar-portugal-2021-2026-plano-preliminar-" TargetMode="External"/><Relationship Id="rId25" Type="http://schemas.openxmlformats.org/officeDocument/2006/relationships/hyperlink" Target="https://www.portugal.gov.pt/pt/gc22/comunicacao/documento?i=apresentacao-do-programa-nacional-de-investimentos-para-2030" TargetMode="External"/><Relationship Id="rId33" Type="http://schemas.openxmlformats.org/officeDocument/2006/relationships/hyperlink" Target="https://www.portugal.gov.pt/pt/gc22/comunicacao/documento?i=apresentacao-do-programa-nacional-de-investimentos-para-2030" TargetMode="External"/><Relationship Id="rId38" Type="http://schemas.openxmlformats.org/officeDocument/2006/relationships/hyperlink" Target="https://www.portugal.gov.pt/pt/gc22/comunicacao/documento?i=apresentacao-do-programa-nacional-de-investimentos-para-2030" TargetMode="External"/><Relationship Id="rId46" Type="http://schemas.openxmlformats.org/officeDocument/2006/relationships/hyperlink" Target="https://participa.pt/pt/consulta/processo-de-licenciamento-ambiental-da-euroeste-sa-rosenta" TargetMode="External"/><Relationship Id="rId20" Type="http://schemas.openxmlformats.org/officeDocument/2006/relationships/hyperlink" Target="https://www.portugal.gov.pt/pt/gc22/comunicacao/documento?i=plano-de-recuperacao-e-resiliencia-recuperar-portugal-2021-2026-plano-preliminar-" TargetMode="External"/><Relationship Id="rId41" Type="http://schemas.openxmlformats.org/officeDocument/2006/relationships/hyperlink" Target="https://www.portugal.gov.pt/pt/gc22/comunicacao/documento?i=apresentacao-do-programa-nacional-de-investimentos-para-2030" TargetMode="External"/><Relationship Id="rId54" Type="http://schemas.openxmlformats.org/officeDocument/2006/relationships/hyperlink" Target="https://participa.pt/pt/consulta/pedreira-vale-salgueiro" TargetMode="External"/><Relationship Id="rId1" Type="http://schemas.openxmlformats.org/officeDocument/2006/relationships/hyperlink" Target="https://www.ren.pt/files/2018-08/2018-08-09095141_4c65f7f1-2e56-4968-a1af-585420fa64e0$$1a023d9d-e762-427c-8e7c-d5c21194812c$$a801cd83-c051-4001-8c35-99dde04eadb7$$pt_pt__file$$pt$$1.pdf" TargetMode="External"/><Relationship Id="rId6" Type="http://schemas.openxmlformats.org/officeDocument/2006/relationships/hyperlink" Target="http://www.snmportugal.pt/Contestacao_EIA_Novo_Aeroporto_de_Montijo.pdf" TargetMode="External"/><Relationship Id="rId15" Type="http://schemas.openxmlformats.org/officeDocument/2006/relationships/hyperlink" Target="https://participa.pt/pt/consulta/novo-terminal-de-contentores-do-porto-de-leixoes" TargetMode="External"/><Relationship Id="rId23" Type="http://schemas.openxmlformats.org/officeDocument/2006/relationships/hyperlink" Target="https://www.portugal.gov.pt/pt/gc22/comunicacao/documento?i=apresentacao-do-programa-nacional-de-investimentos-para-2030" TargetMode="External"/><Relationship Id="rId28" Type="http://schemas.openxmlformats.org/officeDocument/2006/relationships/hyperlink" Target="https://www.portugal.gov.pt/pt/gc22/comunicacao/documento?i=apresentacao-do-programa-nacional-de-investimentos-para-2030" TargetMode="External"/><Relationship Id="rId36" Type="http://schemas.openxmlformats.org/officeDocument/2006/relationships/hyperlink" Target="https://www.portugal.gov.pt/pt/gc22/comunicacao/documento?i=apresentacao-do-programa-nacional-de-investimentos-para-2030" TargetMode="External"/><Relationship Id="rId49" Type="http://schemas.openxmlformats.org/officeDocument/2006/relationships/hyperlink" Target="https://participa.pt/pt/consulta/projeto-da-ampliacao-da-pedreira-n-6619-plaina-das-queirogas-6266" TargetMode="External"/><Relationship Id="rId57" Type="http://schemas.openxmlformats.org/officeDocument/2006/relationships/hyperlink" Target="https://participa.pt/pt/consulta/ampliacao-da-pedreira-n-5354-pedreira-das-lages" TargetMode="External"/><Relationship Id="rId10" Type="http://schemas.openxmlformats.org/officeDocument/2006/relationships/hyperlink" Target="https://www.dn.pt/edicao-do-dia/07-jan-2021/e-invisivel-a-maior-obra-de-lisboa---mas-vai-proteger-a-cidade-13202601.html" TargetMode="External"/><Relationship Id="rId31" Type="http://schemas.openxmlformats.org/officeDocument/2006/relationships/hyperlink" Target="https://www.portugal.gov.pt/pt/gc22/comunicacao/documento?i=apresentacao-do-programa-nacional-de-investimentos-para-2030" TargetMode="External"/><Relationship Id="rId44" Type="http://schemas.openxmlformats.org/officeDocument/2006/relationships/hyperlink" Target="https://jornaleconomico.sapo.pt/noticias/conheca-os-37-projetos-ja-aprovados-pelo-governo-no-ambito-do-hidrogenio-verde-660995" TargetMode="External"/><Relationship Id="rId52" Type="http://schemas.openxmlformats.org/officeDocument/2006/relationships/hyperlink" Target="https://participa.pt/pt/consulta/ampliacao-da-pedreira-pia-das-lages-n-3-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24"/>
  <sheetViews>
    <sheetView tabSelected="1" workbookViewId="0"/>
  </sheetViews>
  <sheetFormatPr defaultRowHeight="13.9"/>
  <cols>
    <col min="1" max="1" width="1.125" style="1" customWidth="1"/>
    <col min="2" max="2" width="22.125" style="1" customWidth="1"/>
    <col min="3" max="3" width="24" style="1" customWidth="1"/>
    <col min="4" max="4" width="22.625" style="1" customWidth="1"/>
    <col min="5" max="5" width="32.75" style="1" customWidth="1"/>
    <col min="6" max="1024" width="5.5" style="1" customWidth="1"/>
  </cols>
  <sheetData>
    <row r="1" spans="2:5" ht="13.15" customHeight="1">
      <c r="B1" s="11" t="s">
        <v>0</v>
      </c>
      <c r="C1" s="11"/>
      <c r="D1" s="11"/>
      <c r="E1" s="11"/>
    </row>
    <row r="2" spans="2:5" ht="13.15" customHeight="1">
      <c r="B2" s="11"/>
      <c r="C2" s="11"/>
      <c r="D2" s="11"/>
      <c r="E2" s="11"/>
    </row>
    <row r="3" spans="2:5" ht="15">
      <c r="B3" s="2" t="s">
        <v>1</v>
      </c>
      <c r="C3" s="3" t="s">
        <v>2</v>
      </c>
    </row>
    <row r="4" spans="2:5" ht="15">
      <c r="B4" s="2" t="s">
        <v>3</v>
      </c>
      <c r="C4" s="3" t="s">
        <v>4</v>
      </c>
    </row>
    <row r="5" spans="2:5" ht="14.25"/>
    <row r="6" spans="2:5" ht="36">
      <c r="B6" s="4" t="s">
        <v>5</v>
      </c>
      <c r="C6" s="4" t="s">
        <v>6</v>
      </c>
      <c r="D6" s="4" t="s">
        <v>7</v>
      </c>
      <c r="E6" s="4" t="s">
        <v>8</v>
      </c>
    </row>
    <row r="7" spans="2:5" ht="14.25"/>
    <row r="8" spans="2:5" ht="15">
      <c r="B8" s="5" t="s">
        <v>9</v>
      </c>
      <c r="C8" s="5"/>
      <c r="D8" s="5"/>
      <c r="E8" s="5"/>
    </row>
    <row r="9" spans="2:5" ht="25.5" customHeight="1">
      <c r="B9" s="6"/>
      <c r="C9" s="6" t="s">
        <v>10</v>
      </c>
      <c r="D9" s="6" t="s">
        <v>11</v>
      </c>
      <c r="E9" s="7" t="s">
        <v>12</v>
      </c>
    </row>
    <row r="10" spans="2:5" ht="15">
      <c r="B10" s="5" t="s">
        <v>13</v>
      </c>
      <c r="C10" s="5"/>
      <c r="D10" s="5"/>
      <c r="E10" s="8"/>
    </row>
    <row r="11" spans="2:5" ht="42" customHeight="1">
      <c r="B11" s="6"/>
      <c r="C11" s="6" t="s">
        <v>14</v>
      </c>
      <c r="D11" s="6" t="s">
        <v>15</v>
      </c>
      <c r="E11" s="7" t="s">
        <v>16</v>
      </c>
    </row>
    <row r="12" spans="2:5" ht="15">
      <c r="B12" s="5" t="s">
        <v>17</v>
      </c>
      <c r="C12" s="5"/>
      <c r="D12" s="5"/>
      <c r="E12" s="8"/>
    </row>
    <row r="13" spans="2:5" ht="47.25" customHeight="1">
      <c r="B13" s="6"/>
      <c r="C13" s="6" t="s">
        <v>18</v>
      </c>
      <c r="D13" s="6" t="s">
        <v>19</v>
      </c>
      <c r="E13" s="7" t="s">
        <v>20</v>
      </c>
    </row>
    <row r="14" spans="2:5" ht="15">
      <c r="B14" s="5" t="s">
        <v>21</v>
      </c>
      <c r="C14" s="5"/>
      <c r="D14" s="5"/>
      <c r="E14" s="8"/>
    </row>
    <row r="15" spans="2:5" ht="57" customHeight="1">
      <c r="B15" s="6"/>
      <c r="C15" s="6" t="s">
        <v>18</v>
      </c>
      <c r="D15" s="6" t="s">
        <v>22</v>
      </c>
      <c r="E15" s="7" t="s">
        <v>23</v>
      </c>
    </row>
    <row r="16" spans="2:5" ht="15">
      <c r="B16" s="5" t="s">
        <v>24</v>
      </c>
      <c r="C16" s="5"/>
      <c r="D16" s="5"/>
      <c r="E16" s="8"/>
    </row>
    <row r="17" spans="2:5" ht="33.75" customHeight="1">
      <c r="B17" s="9"/>
      <c r="C17" s="6" t="s">
        <v>25</v>
      </c>
      <c r="D17" s="6" t="s">
        <v>26</v>
      </c>
      <c r="E17" s="7" t="s">
        <v>27</v>
      </c>
    </row>
    <row r="18" spans="2:5" ht="13.15" customHeight="1">
      <c r="B18" s="5" t="s">
        <v>28</v>
      </c>
      <c r="C18" s="5"/>
      <c r="D18" s="5"/>
      <c r="E18" s="8"/>
    </row>
    <row r="19" spans="2:5" ht="48.75" customHeight="1">
      <c r="B19" s="9"/>
      <c r="C19" s="9"/>
      <c r="D19" s="6" t="s">
        <v>29</v>
      </c>
      <c r="E19" s="7" t="s">
        <v>30</v>
      </c>
    </row>
    <row r="20" spans="2:5" ht="13.15" customHeight="1"/>
    <row r="21" spans="2:5" ht="13.15" customHeight="1">
      <c r="B21" s="10" t="s">
        <v>31</v>
      </c>
    </row>
    <row r="22" spans="2:5" ht="27.95" customHeight="1">
      <c r="B22" s="12" t="s">
        <v>32</v>
      </c>
      <c r="C22" s="12"/>
    </row>
    <row r="23" spans="2:5" ht="42.95" customHeight="1">
      <c r="B23" s="13" t="s">
        <v>33</v>
      </c>
      <c r="C23" s="13"/>
    </row>
    <row r="24" spans="2:5" ht="31.5" customHeight="1">
      <c r="B24" s="13" t="s">
        <v>34</v>
      </c>
      <c r="C24" s="13"/>
    </row>
  </sheetData>
  <mergeCells count="4">
    <mergeCell ref="B1:E2"/>
    <mergeCell ref="B22:C22"/>
    <mergeCell ref="B23:C23"/>
    <mergeCell ref="B24:C24"/>
  </mergeCells>
  <pageMargins left="0.70000000000000007" right="0.70000000000000007" top="1.1437000000000002" bottom="1.1437000000000002" header="0.51180000000000003" footer="0.51180000000000003"/>
  <pageSetup paperSize="0" scale="62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"/>
  <sheetViews>
    <sheetView workbookViewId="0"/>
  </sheetViews>
  <sheetFormatPr defaultRowHeight="13.9"/>
  <cols>
    <col min="1" max="1" width="9" style="1" customWidth="1"/>
    <col min="2" max="2" width="23.125" style="1" customWidth="1"/>
    <col min="3" max="3" width="17.5" style="1" customWidth="1"/>
    <col min="4" max="4" width="18.5" style="1" customWidth="1"/>
    <col min="5" max="5" width="29.375" style="1" customWidth="1"/>
    <col min="6" max="6" width="19.875" style="1" customWidth="1"/>
    <col min="7" max="1024" width="9" style="1" customWidth="1"/>
  </cols>
  <sheetData>
    <row r="1" spans="1:7" ht="27.6" customHeight="1">
      <c r="A1" s="43" t="s">
        <v>10</v>
      </c>
      <c r="B1" s="43"/>
      <c r="C1" s="43"/>
      <c r="D1" s="43"/>
      <c r="E1" s="43"/>
      <c r="F1" s="43"/>
      <c r="G1" s="43"/>
    </row>
    <row r="2" spans="1:7" ht="20.25" customHeight="1">
      <c r="A2" s="44" t="s">
        <v>0</v>
      </c>
      <c r="B2" s="44"/>
      <c r="C2" s="44"/>
      <c r="D2" s="44"/>
      <c r="E2" s="44"/>
      <c r="F2" s="44"/>
      <c r="G2" s="44"/>
    </row>
    <row r="3" spans="1:7" ht="20.25" customHeight="1">
      <c r="A3" s="45" t="s">
        <v>35</v>
      </c>
      <c r="B3" s="45"/>
      <c r="C3" s="45"/>
      <c r="D3" s="45"/>
      <c r="E3" s="45"/>
      <c r="F3" s="45"/>
      <c r="G3" s="45"/>
    </row>
    <row r="4" spans="1:7" ht="20.100000000000001" customHeight="1">
      <c r="A4" s="46"/>
      <c r="B4" s="46"/>
      <c r="C4" s="46"/>
      <c r="D4" s="46"/>
      <c r="E4" s="46"/>
      <c r="F4" s="46"/>
      <c r="G4" s="46"/>
    </row>
    <row r="5" spans="1:7" ht="32.1" customHeight="1">
      <c r="A5" s="47" t="s">
        <v>36</v>
      </c>
      <c r="B5" s="47"/>
      <c r="C5" s="47"/>
      <c r="D5" s="47"/>
      <c r="E5" s="47"/>
      <c r="F5" s="47"/>
      <c r="G5" s="47"/>
    </row>
    <row r="6" spans="1:7" ht="20.100000000000001" customHeight="1">
      <c r="A6" s="48"/>
      <c r="B6" s="48"/>
      <c r="C6" s="48"/>
      <c r="D6" s="48"/>
      <c r="E6" s="48"/>
      <c r="F6" s="48"/>
      <c r="G6" s="48"/>
    </row>
    <row r="7" spans="1:7" ht="32.1" customHeight="1">
      <c r="A7" s="15"/>
      <c r="B7" s="16" t="s">
        <v>37</v>
      </c>
      <c r="C7" s="17" t="s">
        <v>38</v>
      </c>
      <c r="D7" s="17" t="s">
        <v>39</v>
      </c>
      <c r="E7" s="17" t="s">
        <v>40</v>
      </c>
      <c r="F7" s="17" t="s">
        <v>41</v>
      </c>
      <c r="G7" s="18"/>
    </row>
    <row r="8" spans="1:7" ht="47.85" customHeight="1">
      <c r="A8" s="15"/>
      <c r="B8" s="19" t="s">
        <v>42</v>
      </c>
      <c r="C8" s="20">
        <f>ROUND(SUM(ANEX_I!D9,ANEX_I!D28)/1000,2)</f>
        <v>19.07</v>
      </c>
      <c r="D8" s="21">
        <f>ROUND((C8/C17)*100,1)</f>
        <v>25.7</v>
      </c>
      <c r="E8" s="22" t="s">
        <v>43</v>
      </c>
      <c r="F8" s="18"/>
      <c r="G8" s="18"/>
    </row>
    <row r="9" spans="1:7" ht="36.75" customHeight="1">
      <c r="A9" s="15"/>
      <c r="B9" s="23" t="s">
        <v>44</v>
      </c>
      <c r="C9" s="20">
        <f>ROUND(ANEX_I!D24/1000,2)</f>
        <v>2.09</v>
      </c>
      <c r="D9" s="21">
        <f>ROUND((C9/C17)*100,1)</f>
        <v>2.8</v>
      </c>
      <c r="E9" s="22" t="s">
        <v>45</v>
      </c>
      <c r="F9" s="18"/>
      <c r="G9" s="18"/>
    </row>
    <row r="10" spans="1:7" ht="46.5" customHeight="1">
      <c r="A10" s="15"/>
      <c r="B10" s="24" t="s">
        <v>46</v>
      </c>
      <c r="C10" s="20">
        <f>ROUND(ANEX_I!D23/1000,2)</f>
        <v>1.23</v>
      </c>
      <c r="D10" s="21">
        <f>ROUND((C10/C17)*100,1)</f>
        <v>1.7</v>
      </c>
      <c r="E10" s="22" t="s">
        <v>47</v>
      </c>
      <c r="F10" s="18"/>
      <c r="G10" s="18"/>
    </row>
    <row r="11" spans="1:7" ht="61.5" customHeight="1">
      <c r="A11" s="15"/>
      <c r="B11" s="25" t="s">
        <v>48</v>
      </c>
      <c r="C11" s="20">
        <f>ROUND(SUM(ANEX_I!D16:D17,ANEX_I!D19,ANEX_I!D20,ANEX_I!D21)/1000,2)</f>
        <v>18.09</v>
      </c>
      <c r="D11" s="21">
        <f>ROUND((C11/C17)*100,1)</f>
        <v>24.4</v>
      </c>
      <c r="E11" s="22" t="s">
        <v>49</v>
      </c>
      <c r="F11" s="18"/>
      <c r="G11" s="18"/>
    </row>
    <row r="12" spans="1:7" ht="121.15" customHeight="1">
      <c r="A12" s="15"/>
      <c r="B12" s="25" t="s">
        <v>50</v>
      </c>
      <c r="C12" s="20">
        <f>ROUND(1.949+4.157,2)</f>
        <v>6.11</v>
      </c>
      <c r="D12" s="21">
        <f>ROUND((C12/C17)*100,1)</f>
        <v>8.1999999999999993</v>
      </c>
      <c r="E12" s="22" t="s">
        <v>51</v>
      </c>
      <c r="F12" s="26"/>
      <c r="G12" s="18"/>
    </row>
    <row r="13" spans="1:7" ht="82.5" customHeight="1">
      <c r="A13" s="15"/>
      <c r="B13" s="25" t="s">
        <v>52</v>
      </c>
      <c r="C13" s="20">
        <f>ROUND(SUM(ANEX_I!D31,ANEX_I!D32,ANEX_I!D33,ANEX_I!D15,ANEX_I!D14,ANEX_I!D13,ANEX_I!D12,ANEX_I!D11,ANEX_I!D10)/1000,2)</f>
        <v>11.3</v>
      </c>
      <c r="D13" s="21">
        <f>ROUND((C13/C17)*100,1)</f>
        <v>15.2</v>
      </c>
      <c r="E13" s="22" t="s">
        <v>53</v>
      </c>
      <c r="F13" s="27"/>
      <c r="G13" s="18"/>
    </row>
    <row r="14" spans="1:7" ht="111.95" customHeight="1">
      <c r="A14" s="15"/>
      <c r="B14" s="28" t="s">
        <v>54</v>
      </c>
      <c r="C14" s="20">
        <f>ROUND(SUM(ANEX_I!D36,ANEX_I!D37,ANEX_I!D34)/1000,2)</f>
        <v>3.7</v>
      </c>
      <c r="D14" s="21">
        <f>ROUND((C14/C17)*100,1)</f>
        <v>5</v>
      </c>
      <c r="E14" s="22" t="s">
        <v>55</v>
      </c>
      <c r="F14" s="27"/>
      <c r="G14" s="18"/>
    </row>
    <row r="15" spans="1:7" ht="57.4" customHeight="1">
      <c r="A15" s="15"/>
      <c r="B15" s="29" t="s">
        <v>56</v>
      </c>
      <c r="C15" s="20">
        <f>ROUND(SUM(ANEX_I!D62,ANEX_I!D25:D27)/1000,2)</f>
        <v>8.01</v>
      </c>
      <c r="D15" s="21">
        <f>ROUND((C15/C17)*100,1)</f>
        <v>10.8</v>
      </c>
      <c r="E15" s="22" t="s">
        <v>57</v>
      </c>
      <c r="F15" s="27"/>
      <c r="G15" s="18"/>
    </row>
    <row r="16" spans="1:7" ht="26.25" customHeight="1">
      <c r="A16" s="15"/>
      <c r="B16" s="29" t="s">
        <v>58</v>
      </c>
      <c r="C16" s="20">
        <f>ROUND(ANEX_I!D76/1000,2)</f>
        <v>4.57</v>
      </c>
      <c r="D16" s="21">
        <f>ROUND((C16/C17)*100,1)</f>
        <v>6.2</v>
      </c>
      <c r="E16" s="22" t="s">
        <v>59</v>
      </c>
      <c r="F16" s="18"/>
      <c r="G16" s="18"/>
    </row>
    <row r="17" spans="1:7" ht="26.25" customHeight="1">
      <c r="A17" s="30"/>
      <c r="B17" s="31" t="s">
        <v>26</v>
      </c>
      <c r="C17" s="32">
        <f>ROUND(SUM(C8:C16),1)</f>
        <v>74.2</v>
      </c>
      <c r="D17" s="21">
        <f>ROUND((C17/C17)*100,1)</f>
        <v>100</v>
      </c>
      <c r="E17" s="33"/>
      <c r="F17" s="34"/>
      <c r="G17" s="35"/>
    </row>
    <row r="18" spans="1:7" ht="14.25" customHeight="1">
      <c r="A18" s="36"/>
      <c r="B18" s="49" t="s">
        <v>60</v>
      </c>
      <c r="C18" s="49"/>
      <c r="D18" s="49"/>
      <c r="E18" s="49"/>
      <c r="F18" s="49"/>
      <c r="G18" s="37">
        <f>ROUND(LULUCF!E19,2)</f>
        <v>-7</v>
      </c>
    </row>
    <row r="19" spans="1:7" ht="46.7" customHeight="1">
      <c r="A19" s="36"/>
      <c r="B19" s="38" t="s">
        <v>61</v>
      </c>
      <c r="C19" s="39" t="s">
        <v>62</v>
      </c>
      <c r="D19" s="40"/>
      <c r="E19" s="41"/>
      <c r="F19" s="41"/>
      <c r="G19" s="41"/>
    </row>
    <row r="20" spans="1:7" ht="21.4" customHeight="1">
      <c r="A20" s="15"/>
      <c r="B20" s="42"/>
      <c r="C20" s="41"/>
      <c r="D20" s="18"/>
      <c r="E20" s="18"/>
      <c r="F20" s="18"/>
      <c r="G20" s="18"/>
    </row>
    <row r="21" spans="1:7" ht="14.25"/>
    <row r="22" spans="1:7" ht="14.25"/>
    <row r="23" spans="1:7" ht="14.25"/>
    <row r="24" spans="1:7" ht="14.25"/>
    <row r="25" spans="1:7" ht="27.6" customHeight="1"/>
    <row r="26" spans="1:7" ht="27.6" customHeight="1"/>
    <row r="27" spans="1:7" ht="14.25"/>
    <row r="28" spans="1:7" ht="14.25"/>
    <row r="29" spans="1:7" ht="14.25"/>
    <row r="30" spans="1:7" ht="30" customHeight="1"/>
    <row r="31" spans="1:7" ht="42" customHeight="1"/>
    <row r="32" spans="1:7" ht="31.9" customHeight="1"/>
    <row r="34" ht="31.9" customHeight="1"/>
    <row r="36" ht="33.6" customHeight="1"/>
    <row r="39" ht="29.45" customHeight="1"/>
    <row r="44" ht="30" customHeight="1"/>
    <row r="46" ht="25.9" customHeight="1"/>
    <row r="59" ht="30" customHeight="1"/>
    <row r="60" ht="27.6" customHeight="1"/>
    <row r="65" ht="35.450000000000003" customHeight="1"/>
    <row r="69" ht="198" customHeight="1"/>
  </sheetData>
  <mergeCells count="7">
    <mergeCell ref="B18:F18"/>
    <mergeCell ref="A1:G1"/>
    <mergeCell ref="A2:G2"/>
    <mergeCell ref="A3:G3"/>
    <mergeCell ref="A4:G4"/>
    <mergeCell ref="A5:G5"/>
    <mergeCell ref="A6:G6"/>
  </mergeCells>
  <pageMargins left="0.5" right="0.5" top="1.1437000000000002" bottom="1.056" header="0.51180000000000003" footer="0.27800000000000002"/>
  <pageSetup paperSize="0" scale="55" fitToWidth="0" fitToHeight="0" orientation="portrait" horizontalDpi="0" verticalDpi="0" copies="0"/>
  <headerFoot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opLeftCell="A2" workbookViewId="0"/>
  </sheetViews>
  <sheetFormatPr defaultRowHeight="13.9"/>
  <cols>
    <col min="1" max="1" width="11.5" style="107" customWidth="1"/>
    <col min="2" max="2" width="21.875" style="1" customWidth="1"/>
    <col min="3" max="3" width="14.125" style="1" customWidth="1"/>
    <col min="4" max="4" width="15" style="1" customWidth="1"/>
    <col min="5" max="5" width="17.125" style="109" customWidth="1"/>
    <col min="6" max="6" width="15" style="1" customWidth="1"/>
    <col min="7" max="7" width="21.625" style="1" customWidth="1"/>
    <col min="8" max="8" width="19.875" style="1" customWidth="1"/>
    <col min="9" max="9" width="17" style="1" customWidth="1"/>
    <col min="10" max="10" width="12.75" style="1" customWidth="1"/>
    <col min="11" max="11" width="7.5" style="1" customWidth="1"/>
    <col min="12" max="1024" width="9" style="1" customWidth="1"/>
  </cols>
  <sheetData>
    <row r="1" spans="1:14" ht="27.6" hidden="1" customHeight="1">
      <c r="A1" s="5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0"/>
      <c r="N1" s="50"/>
    </row>
    <row r="2" spans="1:14" ht="27.6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8.5" customHeigh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20.25" customHeight="1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0.100000000000001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21.75" customHeight="1">
      <c r="A6" s="113" t="s">
        <v>63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2.75" customHeight="1">
      <c r="A7" s="1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4"/>
      <c r="N7" s="14"/>
    </row>
    <row r="8" spans="1:14" ht="54" customHeight="1">
      <c r="A8" s="51" t="s">
        <v>64</v>
      </c>
      <c r="B8" s="51" t="s">
        <v>65</v>
      </c>
      <c r="C8" s="114" t="s">
        <v>66</v>
      </c>
      <c r="D8" s="114"/>
      <c r="E8" s="51" t="s">
        <v>67</v>
      </c>
      <c r="F8" s="51" t="s">
        <v>68</v>
      </c>
      <c r="G8" s="51" t="s">
        <v>69</v>
      </c>
      <c r="H8" s="51" t="s">
        <v>37</v>
      </c>
      <c r="I8" s="51" t="s">
        <v>70</v>
      </c>
      <c r="J8" s="51" t="s">
        <v>71</v>
      </c>
      <c r="K8" s="51" t="s">
        <v>72</v>
      </c>
      <c r="L8" s="51" t="s">
        <v>73</v>
      </c>
      <c r="M8" s="51" t="s">
        <v>74</v>
      </c>
      <c r="N8" s="51" t="s">
        <v>73</v>
      </c>
    </row>
    <row r="9" spans="1:14" s="59" customFormat="1" ht="128.25">
      <c r="A9" s="52">
        <v>1</v>
      </c>
      <c r="B9" s="53" t="s">
        <v>75</v>
      </c>
      <c r="C9" s="54" t="s">
        <v>76</v>
      </c>
      <c r="D9" s="54" t="s">
        <v>77</v>
      </c>
      <c r="E9" s="55">
        <f>8400000+135*298</f>
        <v>8440230</v>
      </c>
      <c r="F9" s="54" t="s">
        <v>78</v>
      </c>
      <c r="G9" s="54" t="s">
        <v>79</v>
      </c>
      <c r="H9" s="54" t="s">
        <v>80</v>
      </c>
      <c r="I9" s="54" t="s">
        <v>81</v>
      </c>
      <c r="J9" s="56">
        <f>E9/(Total!C7*10^6)*100</f>
        <v>11.374973045822102</v>
      </c>
      <c r="K9" s="57">
        <v>2017</v>
      </c>
      <c r="L9" s="58" t="s">
        <v>82</v>
      </c>
      <c r="M9" s="57"/>
      <c r="N9" s="57"/>
    </row>
    <row r="10" spans="1:14" s="59" customFormat="1" ht="128.25">
      <c r="A10" s="52">
        <v>2</v>
      </c>
      <c r="B10" s="54" t="s">
        <v>83</v>
      </c>
      <c r="C10" s="54" t="s">
        <v>84</v>
      </c>
      <c r="D10" s="54" t="s">
        <v>85</v>
      </c>
      <c r="E10" s="55">
        <f>3750000+60.2*298</f>
        <v>3767939.6</v>
      </c>
      <c r="F10" s="54" t="s">
        <v>86</v>
      </c>
      <c r="G10" s="54" t="s">
        <v>87</v>
      </c>
      <c r="H10" s="54" t="s">
        <v>80</v>
      </c>
      <c r="I10" s="54"/>
      <c r="J10" s="56">
        <f>E10/(Total!C7*10^6)*100</f>
        <v>5.0780857142857139</v>
      </c>
      <c r="K10" s="57">
        <v>2017</v>
      </c>
      <c r="L10" s="58" t="s">
        <v>88</v>
      </c>
      <c r="M10" s="57"/>
      <c r="N10" s="57"/>
    </row>
    <row r="11" spans="1:14" ht="142.5">
      <c r="A11" s="52">
        <v>3</v>
      </c>
      <c r="B11" s="60" t="s">
        <v>89</v>
      </c>
      <c r="C11" s="60" t="s">
        <v>76</v>
      </c>
      <c r="D11" s="60" t="s">
        <v>77</v>
      </c>
      <c r="E11" s="61">
        <f>2359050</f>
        <v>2359050</v>
      </c>
      <c r="F11" s="60"/>
      <c r="G11" s="60" t="s">
        <v>90</v>
      </c>
      <c r="H11" s="60" t="s">
        <v>80</v>
      </c>
      <c r="I11" s="60" t="s">
        <v>91</v>
      </c>
      <c r="J11" s="62">
        <f>E11/(Total!C7*10^6)*100</f>
        <v>3.1793126684636115</v>
      </c>
      <c r="K11" s="18">
        <v>2018</v>
      </c>
      <c r="L11" s="63" t="s">
        <v>92</v>
      </c>
      <c r="M11" s="18"/>
      <c r="N11" s="18"/>
    </row>
    <row r="12" spans="1:14" ht="142.5">
      <c r="A12" s="52">
        <v>4</v>
      </c>
      <c r="B12" s="60" t="s">
        <v>93</v>
      </c>
      <c r="C12" s="60" t="s">
        <v>94</v>
      </c>
      <c r="D12" s="60" t="s">
        <v>95</v>
      </c>
      <c r="E12" s="61">
        <v>1501817</v>
      </c>
      <c r="F12" s="60" t="s">
        <v>96</v>
      </c>
      <c r="G12" s="60" t="s">
        <v>97</v>
      </c>
      <c r="H12" s="60" t="s">
        <v>80</v>
      </c>
      <c r="I12" s="60" t="s">
        <v>98</v>
      </c>
      <c r="J12" s="62">
        <f>E12/(Total!C7*10^6)*100</f>
        <v>2.0240121293800541</v>
      </c>
      <c r="K12" s="18">
        <v>2018</v>
      </c>
      <c r="L12" s="63" t="s">
        <v>92</v>
      </c>
      <c r="M12" s="18"/>
      <c r="N12" s="18"/>
    </row>
    <row r="13" spans="1:14" ht="57" customHeight="1">
      <c r="A13" s="52">
        <v>5</v>
      </c>
      <c r="B13" s="60" t="s">
        <v>99</v>
      </c>
      <c r="C13" s="60" t="s">
        <v>100</v>
      </c>
      <c r="D13" s="60" t="s">
        <v>77</v>
      </c>
      <c r="E13" s="61">
        <f>1370000+41.4*298</f>
        <v>1382337.2</v>
      </c>
      <c r="F13" s="60" t="s">
        <v>101</v>
      </c>
      <c r="G13" s="60" t="s">
        <v>102</v>
      </c>
      <c r="H13" s="60" t="s">
        <v>103</v>
      </c>
      <c r="I13" s="60" t="s">
        <v>104</v>
      </c>
      <c r="J13" s="62">
        <f>E13/(Total!C7*10^6)*100</f>
        <v>1.862988140161725</v>
      </c>
      <c r="K13" s="18">
        <v>2017</v>
      </c>
      <c r="L13" s="63" t="s">
        <v>105</v>
      </c>
      <c r="M13" s="18"/>
      <c r="N13" s="18"/>
    </row>
    <row r="14" spans="1:14" ht="72.95" customHeight="1">
      <c r="A14" s="52">
        <v>6</v>
      </c>
      <c r="B14" s="64" t="s">
        <v>106</v>
      </c>
      <c r="C14" s="60" t="s">
        <v>107</v>
      </c>
      <c r="D14" s="60" t="s">
        <v>108</v>
      </c>
      <c r="E14" s="61">
        <f>1245769</f>
        <v>1245769</v>
      </c>
      <c r="F14" s="60"/>
      <c r="G14" s="60" t="s">
        <v>79</v>
      </c>
      <c r="H14" s="60" t="s">
        <v>80</v>
      </c>
      <c r="I14" s="60" t="s">
        <v>109</v>
      </c>
      <c r="J14" s="62">
        <f>E14/(Total!C7*10^6)*100</f>
        <v>1.6789339622641508</v>
      </c>
      <c r="K14" s="18">
        <v>2019</v>
      </c>
      <c r="L14" s="63" t="s">
        <v>92</v>
      </c>
      <c r="M14" s="18"/>
      <c r="N14" s="18"/>
    </row>
    <row r="15" spans="1:14" ht="42.4" customHeight="1">
      <c r="A15" s="52">
        <v>7</v>
      </c>
      <c r="B15" s="54" t="s">
        <v>110</v>
      </c>
      <c r="C15" s="54" t="s">
        <v>111</v>
      </c>
      <c r="D15" s="54" t="s">
        <v>95</v>
      </c>
      <c r="E15" s="55">
        <f>973217+204*298</f>
        <v>1034009</v>
      </c>
      <c r="F15" s="54" t="s">
        <v>112</v>
      </c>
      <c r="G15" s="60" t="s">
        <v>90</v>
      </c>
      <c r="H15" s="54" t="s">
        <v>80</v>
      </c>
      <c r="I15" s="54" t="s">
        <v>91</v>
      </c>
      <c r="J15" s="56">
        <f>E15/(Total!C7*10^6)*100</f>
        <v>1.3935431266846361</v>
      </c>
      <c r="K15" s="57">
        <v>2017</v>
      </c>
      <c r="L15" s="58" t="s">
        <v>113</v>
      </c>
      <c r="M15" s="18"/>
      <c r="N15" s="18"/>
    </row>
    <row r="16" spans="1:14" s="59" customFormat="1" ht="43.9" customHeight="1">
      <c r="A16" s="52">
        <v>8</v>
      </c>
      <c r="B16" s="60" t="s">
        <v>114</v>
      </c>
      <c r="C16" s="60" t="s">
        <v>115</v>
      </c>
      <c r="D16" s="60" t="s">
        <v>116</v>
      </c>
      <c r="E16" s="61">
        <f>957000+21.3*298</f>
        <v>963347.4</v>
      </c>
      <c r="F16" s="60" t="s">
        <v>117</v>
      </c>
      <c r="G16" s="60" t="s">
        <v>114</v>
      </c>
      <c r="H16" s="60" t="s">
        <v>118</v>
      </c>
      <c r="I16" s="60" t="s">
        <v>119</v>
      </c>
      <c r="J16" s="62">
        <f>E16/(Total!C7*10^6)*100</f>
        <v>1.298311859838275</v>
      </c>
      <c r="K16" s="18">
        <v>2017</v>
      </c>
      <c r="L16" s="65" t="s">
        <v>120</v>
      </c>
      <c r="M16" s="57"/>
      <c r="N16" s="57"/>
    </row>
    <row r="17" spans="1:14" ht="142.5">
      <c r="A17" s="52">
        <v>9</v>
      </c>
      <c r="B17" s="60" t="s">
        <v>121</v>
      </c>
      <c r="C17" s="60" t="s">
        <v>122</v>
      </c>
      <c r="D17" s="60" t="s">
        <v>123</v>
      </c>
      <c r="E17" s="61">
        <f>940174</f>
        <v>940174</v>
      </c>
      <c r="F17" s="60"/>
      <c r="G17" s="60" t="s">
        <v>124</v>
      </c>
      <c r="H17" s="60" t="s">
        <v>125</v>
      </c>
      <c r="I17" s="60" t="s">
        <v>126</v>
      </c>
      <c r="J17" s="62">
        <f>E17/(Total!C7*10^6)*100</f>
        <v>1.2670808625336927</v>
      </c>
      <c r="K17" s="18">
        <v>2018</v>
      </c>
      <c r="L17" s="63" t="s">
        <v>92</v>
      </c>
      <c r="M17" s="18"/>
      <c r="N17" s="18"/>
    </row>
    <row r="18" spans="1:14" ht="54.6" customHeight="1">
      <c r="A18" s="52">
        <v>10</v>
      </c>
      <c r="B18" s="60" t="s">
        <v>127</v>
      </c>
      <c r="C18" s="60" t="s">
        <v>128</v>
      </c>
      <c r="D18" s="60" t="s">
        <v>129</v>
      </c>
      <c r="E18" s="61">
        <f>877000+24.4*298</f>
        <v>884271.2</v>
      </c>
      <c r="F18" s="60" t="s">
        <v>130</v>
      </c>
      <c r="G18" s="60" t="s">
        <v>131</v>
      </c>
      <c r="H18" s="60" t="s">
        <v>103</v>
      </c>
      <c r="I18" s="60" t="s">
        <v>132</v>
      </c>
      <c r="J18" s="62">
        <f>E18/(Total!C7*10^6)*100</f>
        <v>1.1917401617250674</v>
      </c>
      <c r="K18" s="18">
        <v>2017</v>
      </c>
      <c r="L18" s="66" t="s">
        <v>133</v>
      </c>
      <c r="M18" s="18"/>
      <c r="N18" s="18"/>
    </row>
    <row r="19" spans="1:14" ht="142.5">
      <c r="A19" s="52">
        <v>11</v>
      </c>
      <c r="B19" s="64" t="s">
        <v>134</v>
      </c>
      <c r="C19" s="60" t="s">
        <v>135</v>
      </c>
      <c r="D19" s="60" t="s">
        <v>123</v>
      </c>
      <c r="E19" s="61">
        <v>869142</v>
      </c>
      <c r="F19" s="60"/>
      <c r="G19" s="60" t="s">
        <v>79</v>
      </c>
      <c r="H19" s="60" t="s">
        <v>80</v>
      </c>
      <c r="I19" s="60" t="s">
        <v>109</v>
      </c>
      <c r="J19" s="62">
        <f>E19/(Total!C7*10^6)*100</f>
        <v>1.1713504043126683</v>
      </c>
      <c r="K19" s="18">
        <v>2018</v>
      </c>
      <c r="L19" s="67" t="s">
        <v>92</v>
      </c>
      <c r="M19" s="18"/>
      <c r="N19" s="18"/>
    </row>
    <row r="20" spans="1:14" ht="200.65" customHeight="1">
      <c r="A20" s="52">
        <v>12</v>
      </c>
      <c r="B20" s="60" t="s">
        <v>136</v>
      </c>
      <c r="C20" s="60" t="s">
        <v>137</v>
      </c>
      <c r="D20" s="60" t="s">
        <v>108</v>
      </c>
      <c r="E20" s="61">
        <f>864000+10.4*298</f>
        <v>867099.2</v>
      </c>
      <c r="F20" s="60" t="s">
        <v>138</v>
      </c>
      <c r="G20" s="60" t="s">
        <v>139</v>
      </c>
      <c r="H20" s="60" t="s">
        <v>125</v>
      </c>
      <c r="I20" s="60" t="s">
        <v>140</v>
      </c>
      <c r="J20" s="62">
        <f>E20/(Total!C7*10^6)*100</f>
        <v>1.1685973045822102</v>
      </c>
      <c r="K20" s="18">
        <v>2017</v>
      </c>
      <c r="L20" s="66" t="s">
        <v>141</v>
      </c>
      <c r="M20" s="18"/>
      <c r="N20" s="18"/>
    </row>
    <row r="21" spans="1:14" ht="270.75">
      <c r="A21" s="52">
        <v>13</v>
      </c>
      <c r="B21" s="60" t="s">
        <v>142</v>
      </c>
      <c r="C21" s="60" t="s">
        <v>143</v>
      </c>
      <c r="D21" s="60" t="s">
        <v>77</v>
      </c>
      <c r="E21" s="61">
        <v>835267</v>
      </c>
      <c r="F21" s="60" t="s">
        <v>144</v>
      </c>
      <c r="G21" s="60" t="s">
        <v>145</v>
      </c>
      <c r="H21" s="60" t="s">
        <v>125</v>
      </c>
      <c r="I21" s="60" t="s">
        <v>140</v>
      </c>
      <c r="J21" s="62">
        <f>E21/(Total!C7*10^6)*100</f>
        <v>1.1256967654986523</v>
      </c>
      <c r="K21" s="18">
        <v>2018</v>
      </c>
      <c r="L21" s="67" t="s">
        <v>146</v>
      </c>
      <c r="M21" s="18"/>
      <c r="N21" s="18"/>
    </row>
    <row r="22" spans="1:14" ht="409.5">
      <c r="A22" s="52">
        <v>14</v>
      </c>
      <c r="B22" s="60" t="s">
        <v>147</v>
      </c>
      <c r="C22" s="60" t="s">
        <v>148</v>
      </c>
      <c r="D22" s="60" t="s">
        <v>108</v>
      </c>
      <c r="E22" s="61">
        <f>827000+17.7*298</f>
        <v>832274.6</v>
      </c>
      <c r="F22" s="60" t="s">
        <v>149</v>
      </c>
      <c r="G22" s="60" t="s">
        <v>150</v>
      </c>
      <c r="H22" s="60" t="s">
        <v>103</v>
      </c>
      <c r="I22" s="60" t="s">
        <v>151</v>
      </c>
      <c r="J22" s="62">
        <f>E22/(Total!C7*10^6)*100</f>
        <v>1.1216638814016171</v>
      </c>
      <c r="K22" s="18">
        <v>2017</v>
      </c>
      <c r="L22" s="66" t="s">
        <v>152</v>
      </c>
      <c r="M22" s="18"/>
      <c r="N22" s="18"/>
    </row>
    <row r="23" spans="1:14" ht="164.1" customHeight="1">
      <c r="A23" s="52">
        <v>15</v>
      </c>
      <c r="B23" s="60" t="s">
        <v>153</v>
      </c>
      <c r="C23" s="60" t="s">
        <v>84</v>
      </c>
      <c r="D23" s="60" t="s">
        <v>85</v>
      </c>
      <c r="E23" s="61">
        <v>742714</v>
      </c>
      <c r="F23" s="60" t="s">
        <v>154</v>
      </c>
      <c r="G23" s="60" t="s">
        <v>155</v>
      </c>
      <c r="H23" s="60" t="s">
        <v>80</v>
      </c>
      <c r="I23" s="60" t="s">
        <v>109</v>
      </c>
      <c r="J23" s="62">
        <f>E23/(Total!C7*10^6)*100</f>
        <v>1.0009622641509432</v>
      </c>
      <c r="K23" s="18">
        <v>2018</v>
      </c>
      <c r="L23" s="67" t="s">
        <v>92</v>
      </c>
      <c r="M23" s="18"/>
      <c r="N23" s="18"/>
    </row>
    <row r="24" spans="1:14" ht="65.45" customHeight="1">
      <c r="A24" s="52">
        <v>16</v>
      </c>
      <c r="B24" s="60" t="s">
        <v>156</v>
      </c>
      <c r="C24" s="60" t="s">
        <v>157</v>
      </c>
      <c r="D24" s="60" t="s">
        <v>158</v>
      </c>
      <c r="E24" s="61">
        <f>585000+10.2*298</f>
        <v>588039.6</v>
      </c>
      <c r="F24" s="60" t="s">
        <v>159</v>
      </c>
      <c r="G24" s="60" t="s">
        <v>160</v>
      </c>
      <c r="H24" s="60" t="s">
        <v>103</v>
      </c>
      <c r="I24" s="60" t="s">
        <v>161</v>
      </c>
      <c r="J24" s="62">
        <f>E24/(Total!C7*10^6)*100</f>
        <v>0.79250619946091649</v>
      </c>
      <c r="K24" s="18">
        <v>2017</v>
      </c>
      <c r="L24" s="66" t="s">
        <v>162</v>
      </c>
      <c r="M24" s="18"/>
      <c r="N24" s="18"/>
    </row>
    <row r="25" spans="1:14" ht="399">
      <c r="A25" s="52">
        <v>17</v>
      </c>
      <c r="B25" s="68" t="s">
        <v>163</v>
      </c>
      <c r="C25" s="68" t="s">
        <v>76</v>
      </c>
      <c r="D25" s="68" t="s">
        <v>77</v>
      </c>
      <c r="E25" s="69">
        <v>561113</v>
      </c>
      <c r="F25" s="68"/>
      <c r="G25" s="68" t="s">
        <v>164</v>
      </c>
      <c r="H25" s="60" t="s">
        <v>165</v>
      </c>
      <c r="I25" s="60" t="s">
        <v>166</v>
      </c>
      <c r="J25" s="62">
        <f>E25/(Total!C7*10^6)*100</f>
        <v>0.75621698113207547</v>
      </c>
      <c r="K25" s="18">
        <v>2018</v>
      </c>
      <c r="L25" s="67" t="s">
        <v>92</v>
      </c>
      <c r="M25" s="18"/>
      <c r="N25" s="18"/>
    </row>
    <row r="26" spans="1:14" ht="128.25">
      <c r="A26" s="52">
        <v>18</v>
      </c>
      <c r="B26" s="60" t="s">
        <v>167</v>
      </c>
      <c r="C26" s="60" t="s">
        <v>168</v>
      </c>
      <c r="D26" s="60" t="s">
        <v>123</v>
      </c>
      <c r="E26" s="61">
        <f>529000+63.5*298</f>
        <v>547923</v>
      </c>
      <c r="F26" s="60" t="s">
        <v>169</v>
      </c>
      <c r="G26" s="60" t="s">
        <v>170</v>
      </c>
      <c r="H26" s="60" t="s">
        <v>58</v>
      </c>
      <c r="I26" s="60" t="s">
        <v>171</v>
      </c>
      <c r="J26" s="62">
        <f>E26/(Total!C7*10^6)*100</f>
        <v>0.73844070080862534</v>
      </c>
      <c r="K26" s="18">
        <v>2017</v>
      </c>
      <c r="L26" s="63" t="s">
        <v>172</v>
      </c>
      <c r="M26" s="18"/>
      <c r="N26" s="18"/>
    </row>
    <row r="27" spans="1:14" ht="128.25">
      <c r="A27" s="52">
        <v>19</v>
      </c>
      <c r="B27" s="60" t="s">
        <v>173</v>
      </c>
      <c r="C27" s="60" t="s">
        <v>116</v>
      </c>
      <c r="D27" s="60" t="s">
        <v>116</v>
      </c>
      <c r="E27" s="61">
        <v>471000</v>
      </c>
      <c r="F27" s="60" t="s">
        <v>174</v>
      </c>
      <c r="G27" s="60" t="s">
        <v>175</v>
      </c>
      <c r="H27" s="60" t="s">
        <v>176</v>
      </c>
      <c r="I27" s="60" t="s">
        <v>177</v>
      </c>
      <c r="J27" s="62">
        <f>E27/(Total!C7*10^6)*100</f>
        <v>0.63477088948787064</v>
      </c>
      <c r="K27" s="18">
        <v>2017</v>
      </c>
      <c r="L27" s="63" t="s">
        <v>178</v>
      </c>
      <c r="M27" s="18"/>
      <c r="N27" s="18"/>
    </row>
    <row r="28" spans="1:14" ht="270.75">
      <c r="A28" s="52">
        <v>20</v>
      </c>
      <c r="B28" s="60" t="s">
        <v>179</v>
      </c>
      <c r="C28" s="60" t="s">
        <v>180</v>
      </c>
      <c r="D28" s="60" t="s">
        <v>181</v>
      </c>
      <c r="E28" s="61">
        <v>465000</v>
      </c>
      <c r="F28" s="60" t="s">
        <v>182</v>
      </c>
      <c r="G28" s="60" t="s">
        <v>183</v>
      </c>
      <c r="H28" s="60" t="s">
        <v>103</v>
      </c>
      <c r="I28" s="60" t="s">
        <v>184</v>
      </c>
      <c r="J28" s="62">
        <f>E28/(Total!C7*10^6)*100</f>
        <v>0.62668463611859837</v>
      </c>
      <c r="K28" s="18">
        <v>2017</v>
      </c>
      <c r="L28" s="63" t="s">
        <v>185</v>
      </c>
      <c r="M28" s="18"/>
      <c r="N28" s="18"/>
    </row>
    <row r="29" spans="1:14" ht="199.5">
      <c r="A29" s="52">
        <v>21</v>
      </c>
      <c r="B29" s="60" t="s">
        <v>186</v>
      </c>
      <c r="C29" s="60" t="s">
        <v>148</v>
      </c>
      <c r="D29" s="60" t="s">
        <v>108</v>
      </c>
      <c r="E29" s="61">
        <f>390000+14.9*298</f>
        <v>394440.2</v>
      </c>
      <c r="F29" s="60" t="s">
        <v>187</v>
      </c>
      <c r="G29" s="60" t="s">
        <v>188</v>
      </c>
      <c r="H29" s="60" t="s">
        <v>118</v>
      </c>
      <c r="I29" s="60" t="s">
        <v>189</v>
      </c>
      <c r="J29" s="62">
        <f>E29/(Total!C7*10^6)*100</f>
        <v>0.53159056603773591</v>
      </c>
      <c r="K29" s="18">
        <v>2017</v>
      </c>
      <c r="L29" s="63" t="s">
        <v>190</v>
      </c>
      <c r="M29" s="18"/>
      <c r="N29" s="18"/>
    </row>
    <row r="30" spans="1:14" ht="111.75" customHeight="1">
      <c r="A30" s="52">
        <v>22</v>
      </c>
      <c r="B30" s="60" t="s">
        <v>191</v>
      </c>
      <c r="C30" s="60" t="s">
        <v>192</v>
      </c>
      <c r="D30" s="60" t="s">
        <v>85</v>
      </c>
      <c r="E30" s="61">
        <v>384566</v>
      </c>
      <c r="F30" s="60"/>
      <c r="G30" s="60" t="s">
        <v>193</v>
      </c>
      <c r="H30" s="60" t="s">
        <v>125</v>
      </c>
      <c r="I30" s="60" t="s">
        <v>194</v>
      </c>
      <c r="J30" s="62">
        <f>E30/(Total!C7*10^6)*100</f>
        <v>0.51828301886792449</v>
      </c>
      <c r="K30" s="18">
        <v>2018</v>
      </c>
      <c r="L30" s="63" t="s">
        <v>195</v>
      </c>
      <c r="M30" s="18"/>
      <c r="N30" s="18"/>
    </row>
    <row r="31" spans="1:14" ht="128.25">
      <c r="A31" s="52">
        <v>23</v>
      </c>
      <c r="B31" s="60" t="s">
        <v>196</v>
      </c>
      <c r="C31" s="60" t="s">
        <v>197</v>
      </c>
      <c r="D31" s="60" t="s">
        <v>95</v>
      </c>
      <c r="E31" s="61">
        <v>361000</v>
      </c>
      <c r="F31" s="60" t="s">
        <v>198</v>
      </c>
      <c r="G31" s="60" t="s">
        <v>199</v>
      </c>
      <c r="H31" s="60" t="s">
        <v>58</v>
      </c>
      <c r="I31" s="60" t="s">
        <v>171</v>
      </c>
      <c r="J31" s="62">
        <f>E31/(Total!C7*10^6)*100</f>
        <v>0.48652291105121293</v>
      </c>
      <c r="K31" s="18">
        <v>2017</v>
      </c>
      <c r="L31" s="63" t="s">
        <v>200</v>
      </c>
      <c r="M31" s="18"/>
      <c r="N31" s="18"/>
    </row>
    <row r="32" spans="1:14" ht="270.75">
      <c r="A32" s="52">
        <v>24</v>
      </c>
      <c r="B32" s="60" t="s">
        <v>201</v>
      </c>
      <c r="C32" s="60" t="s">
        <v>202</v>
      </c>
      <c r="D32" s="60" t="s">
        <v>203</v>
      </c>
      <c r="E32" s="61">
        <v>354069</v>
      </c>
      <c r="F32" s="60" t="s">
        <v>144</v>
      </c>
      <c r="G32" s="60" t="s">
        <v>204</v>
      </c>
      <c r="H32" s="60" t="s">
        <v>125</v>
      </c>
      <c r="I32" s="60" t="s">
        <v>140</v>
      </c>
      <c r="J32" s="62">
        <f>E32/(Total!C7*10^6)*100</f>
        <v>0.4771819407008086</v>
      </c>
      <c r="K32" s="18">
        <v>2018</v>
      </c>
      <c r="L32" s="63" t="s">
        <v>146</v>
      </c>
      <c r="M32" s="18"/>
      <c r="N32" s="18"/>
    </row>
    <row r="33" spans="1:14" ht="142.5">
      <c r="A33" s="52">
        <v>25</v>
      </c>
      <c r="B33" s="60" t="s">
        <v>205</v>
      </c>
      <c r="C33" s="60" t="s">
        <v>77</v>
      </c>
      <c r="D33" s="60" t="s">
        <v>77</v>
      </c>
      <c r="E33" s="61">
        <v>306179</v>
      </c>
      <c r="F33" s="68"/>
      <c r="G33" s="60" t="s">
        <v>206</v>
      </c>
      <c r="H33" s="60" t="s">
        <v>103</v>
      </c>
      <c r="I33" s="60" t="s">
        <v>207</v>
      </c>
      <c r="J33" s="62">
        <f>E33/(Total!C7*10^6)*100</f>
        <v>0.4126401617250674</v>
      </c>
      <c r="K33" s="18">
        <v>2018</v>
      </c>
      <c r="L33" s="70" t="s">
        <v>92</v>
      </c>
      <c r="M33" s="18"/>
      <c r="N33" s="18"/>
    </row>
    <row r="34" spans="1:14" ht="102">
      <c r="A34" s="52">
        <v>26</v>
      </c>
      <c r="B34" s="64" t="s">
        <v>208</v>
      </c>
      <c r="C34" s="60" t="s">
        <v>148</v>
      </c>
      <c r="D34" s="60" t="s">
        <v>108</v>
      </c>
      <c r="E34" s="61">
        <f>288000+19.1*298</f>
        <v>293691.8</v>
      </c>
      <c r="F34" s="60" t="s">
        <v>209</v>
      </c>
      <c r="G34" s="60" t="s">
        <v>210</v>
      </c>
      <c r="H34" s="60" t="s">
        <v>80</v>
      </c>
      <c r="I34" s="60" t="s">
        <v>211</v>
      </c>
      <c r="J34" s="62">
        <f>E34/(Total!C7*10^6)*100</f>
        <v>0.39581105121293797</v>
      </c>
      <c r="K34" s="18">
        <v>2017</v>
      </c>
      <c r="L34" s="66" t="s">
        <v>212</v>
      </c>
      <c r="M34" s="18"/>
      <c r="N34" s="18"/>
    </row>
    <row r="35" spans="1:14" ht="142.5">
      <c r="A35" s="52">
        <v>27</v>
      </c>
      <c r="B35" s="60" t="s">
        <v>213</v>
      </c>
      <c r="C35" s="60" t="s">
        <v>157</v>
      </c>
      <c r="D35" s="60" t="s">
        <v>214</v>
      </c>
      <c r="E35" s="61">
        <v>286880</v>
      </c>
      <c r="F35" s="60"/>
      <c r="G35" s="60" t="s">
        <v>213</v>
      </c>
      <c r="H35" s="60" t="s">
        <v>80</v>
      </c>
      <c r="I35" s="60" t="s">
        <v>215</v>
      </c>
      <c r="J35" s="62">
        <f>E35/(Total!C7*10^6)*100</f>
        <v>0.38663072776280322</v>
      </c>
      <c r="K35" s="18">
        <v>2018</v>
      </c>
      <c r="L35" s="71" t="s">
        <v>195</v>
      </c>
      <c r="M35" s="18"/>
      <c r="N35" s="18"/>
    </row>
    <row r="36" spans="1:14" ht="114.75">
      <c r="A36" s="52">
        <v>28</v>
      </c>
      <c r="B36" s="60" t="s">
        <v>216</v>
      </c>
      <c r="C36" s="60" t="s">
        <v>123</v>
      </c>
      <c r="D36" s="60" t="s">
        <v>123</v>
      </c>
      <c r="E36" s="61">
        <f>8*298+281554+30*25</f>
        <v>284688</v>
      </c>
      <c r="F36" s="60" t="s">
        <v>217</v>
      </c>
      <c r="G36" s="60" t="s">
        <v>218</v>
      </c>
      <c r="H36" s="60" t="s">
        <v>219</v>
      </c>
      <c r="I36" s="60"/>
      <c r="J36" s="62">
        <f>E36/(Total!C7*10^6)*100</f>
        <v>0.38367654986522909</v>
      </c>
      <c r="K36" s="18">
        <v>2017</v>
      </c>
      <c r="L36" s="72" t="s">
        <v>220</v>
      </c>
      <c r="M36" s="18"/>
      <c r="N36" s="18"/>
    </row>
    <row r="37" spans="1:14" ht="42" customHeight="1">
      <c r="A37" s="52">
        <v>29</v>
      </c>
      <c r="B37" s="60" t="s">
        <v>221</v>
      </c>
      <c r="C37" s="60" t="s">
        <v>77</v>
      </c>
      <c r="D37" s="60" t="s">
        <v>77</v>
      </c>
      <c r="E37" s="61">
        <v>284000</v>
      </c>
      <c r="F37" s="60" t="s">
        <v>222</v>
      </c>
      <c r="G37" s="60" t="s">
        <v>221</v>
      </c>
      <c r="H37" s="60" t="s">
        <v>80</v>
      </c>
      <c r="I37" s="60" t="s">
        <v>223</v>
      </c>
      <c r="J37" s="62">
        <f>E37/(Total!C7*10^6)*100</f>
        <v>0.38274932614555257</v>
      </c>
      <c r="K37" s="18">
        <v>2017</v>
      </c>
      <c r="L37" s="63" t="s">
        <v>224</v>
      </c>
      <c r="M37" s="18"/>
      <c r="N37" s="18"/>
    </row>
    <row r="38" spans="1:14" ht="128.25">
      <c r="A38" s="52">
        <v>30</v>
      </c>
      <c r="B38" s="60" t="s">
        <v>225</v>
      </c>
      <c r="C38" s="60" t="s">
        <v>226</v>
      </c>
      <c r="D38" s="60" t="s">
        <v>227</v>
      </c>
      <c r="E38" s="61">
        <v>273000</v>
      </c>
      <c r="F38" s="60" t="s">
        <v>228</v>
      </c>
      <c r="G38" s="60" t="s">
        <v>124</v>
      </c>
      <c r="H38" s="60" t="s">
        <v>125</v>
      </c>
      <c r="I38" s="60"/>
      <c r="J38" s="62">
        <f>E38/(Total!C7*10^6)*100</f>
        <v>0.36792452830188677</v>
      </c>
      <c r="K38" s="18">
        <v>2017</v>
      </c>
      <c r="L38" s="63" t="s">
        <v>229</v>
      </c>
      <c r="M38" s="18"/>
      <c r="N38" s="18"/>
    </row>
    <row r="39" spans="1:14" ht="128.25">
      <c r="A39" s="52">
        <v>31</v>
      </c>
      <c r="B39" s="60" t="s">
        <v>230</v>
      </c>
      <c r="C39" s="60" t="s">
        <v>231</v>
      </c>
      <c r="D39" s="60" t="s">
        <v>203</v>
      </c>
      <c r="E39" s="61">
        <v>273000</v>
      </c>
      <c r="F39" s="60" t="s">
        <v>228</v>
      </c>
      <c r="G39" s="60" t="s">
        <v>204</v>
      </c>
      <c r="H39" s="60" t="s">
        <v>125</v>
      </c>
      <c r="I39" s="60"/>
      <c r="J39" s="62">
        <f>E39/(Total!C7*10^6)*100</f>
        <v>0.36792452830188677</v>
      </c>
      <c r="K39" s="18">
        <v>2017</v>
      </c>
      <c r="L39" s="63" t="s">
        <v>232</v>
      </c>
      <c r="M39" s="18"/>
      <c r="N39" s="18"/>
    </row>
    <row r="40" spans="1:14" ht="171">
      <c r="A40" s="52">
        <v>32</v>
      </c>
      <c r="B40" s="60" t="s">
        <v>233</v>
      </c>
      <c r="C40" s="60" t="s">
        <v>76</v>
      </c>
      <c r="D40" s="60" t="s">
        <v>77</v>
      </c>
      <c r="E40" s="61">
        <v>260000</v>
      </c>
      <c r="F40" s="60" t="s">
        <v>234</v>
      </c>
      <c r="G40" s="60" t="s">
        <v>235</v>
      </c>
      <c r="H40" s="60" t="s">
        <v>80</v>
      </c>
      <c r="I40" s="60" t="s">
        <v>236</v>
      </c>
      <c r="J40" s="62">
        <f>E40/(Total!C7*10^6)*100</f>
        <v>0.35040431266846361</v>
      </c>
      <c r="K40" s="18">
        <v>2017</v>
      </c>
      <c r="L40" s="70" t="s">
        <v>237</v>
      </c>
      <c r="M40" s="18"/>
      <c r="N40" s="18"/>
    </row>
    <row r="41" spans="1:14" ht="142.5">
      <c r="A41" s="52">
        <v>33</v>
      </c>
      <c r="B41" s="60" t="s">
        <v>238</v>
      </c>
      <c r="C41" s="60" t="s">
        <v>239</v>
      </c>
      <c r="D41" s="60" t="s">
        <v>240</v>
      </c>
      <c r="E41" s="61">
        <v>233105</v>
      </c>
      <c r="F41" s="60"/>
      <c r="G41" s="60" t="s">
        <v>241</v>
      </c>
      <c r="H41" s="60" t="s">
        <v>80</v>
      </c>
      <c r="I41" s="60"/>
      <c r="J41" s="62">
        <f>E41/(Total!C7*10^6)*100</f>
        <v>0.31415768194070082</v>
      </c>
      <c r="K41" s="18">
        <v>2018</v>
      </c>
      <c r="L41" s="63" t="s">
        <v>92</v>
      </c>
      <c r="M41" s="18"/>
      <c r="N41" s="18"/>
    </row>
    <row r="42" spans="1:14" ht="128.25">
      <c r="A42" s="52">
        <v>34</v>
      </c>
      <c r="B42" s="60" t="s">
        <v>242</v>
      </c>
      <c r="C42" s="60" t="s">
        <v>243</v>
      </c>
      <c r="D42" s="60" t="s">
        <v>85</v>
      </c>
      <c r="E42" s="61">
        <f>231000</f>
        <v>231000</v>
      </c>
      <c r="F42" s="60" t="s">
        <v>244</v>
      </c>
      <c r="G42" s="60" t="s">
        <v>245</v>
      </c>
      <c r="H42" s="60" t="s">
        <v>103</v>
      </c>
      <c r="I42" s="60" t="s">
        <v>161</v>
      </c>
      <c r="J42" s="62">
        <f>E42/(Total!C7*10^6)*100</f>
        <v>0.31132075471698112</v>
      </c>
      <c r="K42" s="18">
        <v>2017</v>
      </c>
      <c r="L42" s="63" t="s">
        <v>246</v>
      </c>
      <c r="M42" s="18"/>
      <c r="N42" s="18"/>
    </row>
    <row r="43" spans="1:14" ht="256.5">
      <c r="A43" s="52">
        <v>35</v>
      </c>
      <c r="B43" s="60" t="s">
        <v>247</v>
      </c>
      <c r="C43" s="60" t="s">
        <v>248</v>
      </c>
      <c r="D43" s="60" t="s">
        <v>108</v>
      </c>
      <c r="E43" s="61">
        <v>182000</v>
      </c>
      <c r="F43" s="60" t="s">
        <v>249</v>
      </c>
      <c r="G43" s="60" t="s">
        <v>250</v>
      </c>
      <c r="H43" s="60" t="s">
        <v>80</v>
      </c>
      <c r="I43" s="60" t="s">
        <v>251</v>
      </c>
      <c r="J43" s="62">
        <f>E43/(Total!C7*10^6)*100</f>
        <v>0.24528301886792453</v>
      </c>
      <c r="K43" s="18">
        <v>2017</v>
      </c>
      <c r="L43" s="73" t="s">
        <v>252</v>
      </c>
      <c r="M43" s="18"/>
      <c r="N43" s="18"/>
    </row>
    <row r="44" spans="1:14" ht="142.5">
      <c r="A44" s="52">
        <v>36</v>
      </c>
      <c r="B44" s="60" t="s">
        <v>253</v>
      </c>
      <c r="C44" s="60" t="s">
        <v>148</v>
      </c>
      <c r="D44" s="60" t="s">
        <v>108</v>
      </c>
      <c r="E44" s="61">
        <v>174470</v>
      </c>
      <c r="F44" s="60"/>
      <c r="G44" s="74" t="s">
        <v>254</v>
      </c>
      <c r="H44" s="60" t="s">
        <v>103</v>
      </c>
      <c r="I44" s="60" t="s">
        <v>255</v>
      </c>
      <c r="J44" s="62">
        <f>E44/(Total!C7*10^6)*100</f>
        <v>0.23513477088948787</v>
      </c>
      <c r="K44" s="18">
        <v>2018</v>
      </c>
      <c r="L44" s="70" t="s">
        <v>195</v>
      </c>
      <c r="M44" s="18"/>
      <c r="N44" s="18"/>
    </row>
    <row r="45" spans="1:14" ht="156.75">
      <c r="A45" s="52">
        <v>37</v>
      </c>
      <c r="B45" s="60" t="s">
        <v>256</v>
      </c>
      <c r="C45" s="60" t="s">
        <v>257</v>
      </c>
      <c r="D45" s="60" t="s">
        <v>203</v>
      </c>
      <c r="E45" s="61">
        <v>158000</v>
      </c>
      <c r="F45" s="60" t="s">
        <v>258</v>
      </c>
      <c r="G45" s="60" t="s">
        <v>259</v>
      </c>
      <c r="H45" s="60" t="s">
        <v>165</v>
      </c>
      <c r="I45" s="60" t="s">
        <v>260</v>
      </c>
      <c r="J45" s="62">
        <f>E45/(Total!C7*10^6)*100</f>
        <v>0.21293800539083557</v>
      </c>
      <c r="K45" s="18">
        <v>2017</v>
      </c>
      <c r="L45" s="70" t="s">
        <v>261</v>
      </c>
      <c r="M45" s="18"/>
      <c r="N45" s="18"/>
    </row>
    <row r="46" spans="1:14" ht="142.5">
      <c r="A46" s="52">
        <v>38</v>
      </c>
      <c r="B46" s="60" t="s">
        <v>262</v>
      </c>
      <c r="C46" s="75" t="s">
        <v>148</v>
      </c>
      <c r="D46" s="75" t="s">
        <v>108</v>
      </c>
      <c r="E46" s="61">
        <v>153311</v>
      </c>
      <c r="F46" s="60"/>
      <c r="G46" s="74" t="s">
        <v>263</v>
      </c>
      <c r="H46" s="60" t="s">
        <v>103</v>
      </c>
      <c r="I46" s="60" t="s">
        <v>264</v>
      </c>
      <c r="J46" s="62">
        <f>E46/(Total!C7*10^6)*100</f>
        <v>0.20661859838274932</v>
      </c>
      <c r="K46" s="18">
        <v>2018</v>
      </c>
      <c r="L46" s="70" t="s">
        <v>195</v>
      </c>
      <c r="M46" s="18"/>
      <c r="N46" s="18"/>
    </row>
    <row r="47" spans="1:14" ht="128.25">
      <c r="A47" s="52">
        <v>39</v>
      </c>
      <c r="B47" s="60" t="s">
        <v>265</v>
      </c>
      <c r="C47" s="60" t="s">
        <v>266</v>
      </c>
      <c r="D47" s="60" t="s">
        <v>85</v>
      </c>
      <c r="E47" s="61">
        <f>5970*25</f>
        <v>149250</v>
      </c>
      <c r="F47" s="60" t="s">
        <v>267</v>
      </c>
      <c r="G47" s="60" t="s">
        <v>268</v>
      </c>
      <c r="H47" s="60" t="s">
        <v>58</v>
      </c>
      <c r="I47" s="60" t="s">
        <v>269</v>
      </c>
      <c r="J47" s="62">
        <f>E47/(Total!C7*10^6)*100</f>
        <v>0.2011455525606469</v>
      </c>
      <c r="K47" s="18">
        <v>2017</v>
      </c>
      <c r="L47" s="63" t="s">
        <v>270</v>
      </c>
      <c r="M47" s="18"/>
      <c r="N47" s="18"/>
    </row>
    <row r="48" spans="1:14" ht="270.75">
      <c r="A48" s="52">
        <v>40</v>
      </c>
      <c r="B48" s="60" t="s">
        <v>271</v>
      </c>
      <c r="C48" s="60" t="s">
        <v>272</v>
      </c>
      <c r="D48" s="60" t="s">
        <v>273</v>
      </c>
      <c r="E48" s="61">
        <v>144395</v>
      </c>
      <c r="F48" s="60" t="s">
        <v>274</v>
      </c>
      <c r="G48" s="60" t="s">
        <v>275</v>
      </c>
      <c r="H48" s="60" t="s">
        <v>80</v>
      </c>
      <c r="I48" s="60" t="s">
        <v>276</v>
      </c>
      <c r="J48" s="62">
        <f>E48/(Total!C7*10^6)*100</f>
        <v>0.19460242587601076</v>
      </c>
      <c r="K48" s="18">
        <v>2017</v>
      </c>
      <c r="L48" s="63" t="s">
        <v>277</v>
      </c>
      <c r="M48" s="18"/>
      <c r="N48" s="18"/>
    </row>
    <row r="49" spans="1:15" ht="142.5">
      <c r="A49" s="52">
        <v>41</v>
      </c>
      <c r="B49" s="60" t="s">
        <v>278</v>
      </c>
      <c r="C49" s="60" t="s">
        <v>279</v>
      </c>
      <c r="D49" s="60" t="s">
        <v>203</v>
      </c>
      <c r="E49" s="61">
        <v>135476</v>
      </c>
      <c r="F49" s="60" t="s">
        <v>144</v>
      </c>
      <c r="G49" s="60" t="s">
        <v>280</v>
      </c>
      <c r="H49" s="60" t="s">
        <v>281</v>
      </c>
      <c r="I49" s="60" t="s">
        <v>282</v>
      </c>
      <c r="J49" s="62">
        <f>E49/(Total!C7*10^6)*100</f>
        <v>0.18258221024258761</v>
      </c>
      <c r="K49" s="18">
        <v>2018</v>
      </c>
      <c r="L49" s="63" t="s">
        <v>195</v>
      </c>
      <c r="M49" s="18"/>
      <c r="N49" s="18"/>
    </row>
    <row r="50" spans="1:15" ht="270.75">
      <c r="A50" s="52">
        <v>42</v>
      </c>
      <c r="B50" s="60" t="s">
        <v>283</v>
      </c>
      <c r="C50" s="60" t="s">
        <v>284</v>
      </c>
      <c r="D50" s="60" t="s">
        <v>240</v>
      </c>
      <c r="E50" s="61">
        <f>132009</f>
        <v>132009</v>
      </c>
      <c r="F50" s="60" t="s">
        <v>285</v>
      </c>
      <c r="G50" s="60" t="s">
        <v>286</v>
      </c>
      <c r="H50" s="60" t="s">
        <v>80</v>
      </c>
      <c r="I50" s="60" t="s">
        <v>287</v>
      </c>
      <c r="J50" s="62">
        <f>E50/(Total!C7*10^6)*100</f>
        <v>0.17790970350404312</v>
      </c>
      <c r="K50" s="18">
        <v>2017</v>
      </c>
      <c r="L50" s="70" t="s">
        <v>288</v>
      </c>
      <c r="M50" s="18"/>
      <c r="N50" s="18"/>
    </row>
    <row r="51" spans="1:15" ht="128.25">
      <c r="A51" s="52">
        <v>43</v>
      </c>
      <c r="B51" s="60" t="s">
        <v>289</v>
      </c>
      <c r="C51" s="60" t="s">
        <v>226</v>
      </c>
      <c r="D51" s="60" t="s">
        <v>227</v>
      </c>
      <c r="E51" s="61">
        <f>4850*25</f>
        <v>121250</v>
      </c>
      <c r="F51" s="60" t="s">
        <v>290</v>
      </c>
      <c r="G51" s="60" t="s">
        <v>291</v>
      </c>
      <c r="H51" s="60" t="s">
        <v>58</v>
      </c>
      <c r="I51" s="60" t="s">
        <v>269</v>
      </c>
      <c r="J51" s="62">
        <f>E51/(Total!C7*10^6)*100</f>
        <v>0.16340970350404313</v>
      </c>
      <c r="K51" s="18">
        <v>2017</v>
      </c>
      <c r="L51" s="63" t="s">
        <v>292</v>
      </c>
      <c r="M51" s="18"/>
      <c r="N51" s="18"/>
    </row>
    <row r="52" spans="1:15" ht="84" customHeight="1">
      <c r="A52" s="52">
        <v>44</v>
      </c>
      <c r="B52" s="60" t="s">
        <v>293</v>
      </c>
      <c r="C52" s="60" t="s">
        <v>294</v>
      </c>
      <c r="D52" s="60" t="s">
        <v>77</v>
      </c>
      <c r="E52" s="61">
        <v>119883</v>
      </c>
      <c r="F52" s="60"/>
      <c r="G52" s="60" t="s">
        <v>295</v>
      </c>
      <c r="H52" s="60" t="s">
        <v>80</v>
      </c>
      <c r="I52" s="60" t="s">
        <v>296</v>
      </c>
      <c r="J52" s="62">
        <f>E52/(Total!C7*10^6)*100</f>
        <v>0.16156738544474394</v>
      </c>
      <c r="K52" s="18">
        <v>2018</v>
      </c>
      <c r="L52" s="63" t="s">
        <v>92</v>
      </c>
      <c r="M52" s="18"/>
      <c r="N52" s="18"/>
    </row>
    <row r="53" spans="1:15" ht="142.5">
      <c r="A53" s="52">
        <v>45</v>
      </c>
      <c r="B53" s="60" t="s">
        <v>297</v>
      </c>
      <c r="C53" s="60" t="s">
        <v>76</v>
      </c>
      <c r="D53" s="60" t="s">
        <v>77</v>
      </c>
      <c r="E53" s="61">
        <v>114862</v>
      </c>
      <c r="F53" s="60"/>
      <c r="G53" s="60" t="s">
        <v>298</v>
      </c>
      <c r="H53" s="60" t="s">
        <v>165</v>
      </c>
      <c r="I53" s="60"/>
      <c r="J53" s="62">
        <f>E53/(Total!C7*10^6)*100</f>
        <v>0.15480053908355795</v>
      </c>
      <c r="K53" s="18">
        <v>2018</v>
      </c>
      <c r="L53" s="63" t="s">
        <v>195</v>
      </c>
      <c r="M53" s="18"/>
      <c r="N53" s="18"/>
    </row>
    <row r="54" spans="1:15" customFormat="1" ht="142.5">
      <c r="A54" s="52">
        <v>46</v>
      </c>
      <c r="B54" s="60" t="s">
        <v>299</v>
      </c>
      <c r="C54" s="60" t="s">
        <v>197</v>
      </c>
      <c r="D54" s="60" t="s">
        <v>95</v>
      </c>
      <c r="E54" s="61">
        <f>3*298+108341+12*25</f>
        <v>109535</v>
      </c>
      <c r="F54" s="60" t="s">
        <v>300</v>
      </c>
      <c r="G54" s="60" t="s">
        <v>218</v>
      </c>
      <c r="H54" s="60" t="s">
        <v>219</v>
      </c>
      <c r="I54" s="60"/>
      <c r="J54" s="62">
        <f>E54/(Total!C7*10^6)*100</f>
        <v>0.14762129380053907</v>
      </c>
      <c r="K54" s="18">
        <v>2017</v>
      </c>
      <c r="L54" s="18" t="s">
        <v>220</v>
      </c>
      <c r="M54" s="18"/>
      <c r="N54" s="18"/>
      <c r="O54" s="1"/>
    </row>
    <row r="55" spans="1:15" ht="270.75">
      <c r="A55" s="52">
        <v>47</v>
      </c>
      <c r="B55" s="60" t="s">
        <v>301</v>
      </c>
      <c r="C55" s="60" t="s">
        <v>148</v>
      </c>
      <c r="D55" s="60" t="s">
        <v>108</v>
      </c>
      <c r="E55" s="61">
        <f>104000+22.2*25</f>
        <v>104555</v>
      </c>
      <c r="F55" s="60" t="s">
        <v>302</v>
      </c>
      <c r="G55" s="60" t="s">
        <v>303</v>
      </c>
      <c r="H55" s="60" t="s">
        <v>103</v>
      </c>
      <c r="I55" s="60" t="s">
        <v>304</v>
      </c>
      <c r="J55" s="62">
        <f>E55/(Total!C7*10^6)*100</f>
        <v>0.14090970350404314</v>
      </c>
      <c r="K55" s="18">
        <v>2017</v>
      </c>
      <c r="L55" s="63" t="s">
        <v>277</v>
      </c>
      <c r="M55" s="18"/>
      <c r="N55" s="18"/>
    </row>
    <row r="56" spans="1:15" ht="142.5">
      <c r="A56" s="52">
        <v>48</v>
      </c>
      <c r="B56" s="60" t="s">
        <v>305</v>
      </c>
      <c r="C56" s="60" t="s">
        <v>306</v>
      </c>
      <c r="D56" s="60" t="s">
        <v>95</v>
      </c>
      <c r="E56" s="61">
        <v>99891</v>
      </c>
      <c r="F56" s="60"/>
      <c r="G56" s="60" t="s">
        <v>307</v>
      </c>
      <c r="H56" s="60" t="s">
        <v>281</v>
      </c>
      <c r="I56" s="60" t="s">
        <v>282</v>
      </c>
      <c r="J56" s="62">
        <f>E56/(Total!C7*10^6)*100</f>
        <v>0.13462398921832883</v>
      </c>
      <c r="K56" s="18">
        <v>2018</v>
      </c>
      <c r="L56" s="63" t="s">
        <v>195</v>
      </c>
      <c r="M56" s="18"/>
      <c r="N56" s="18"/>
    </row>
    <row r="57" spans="1:15" ht="128.25">
      <c r="A57" s="52">
        <v>49</v>
      </c>
      <c r="B57" s="60" t="s">
        <v>308</v>
      </c>
      <c r="C57" s="60" t="s">
        <v>309</v>
      </c>
      <c r="D57" s="60" t="s">
        <v>227</v>
      </c>
      <c r="E57" s="61">
        <f>3880*25</f>
        <v>97000</v>
      </c>
      <c r="F57" s="60" t="s">
        <v>310</v>
      </c>
      <c r="G57" s="60" t="s">
        <v>291</v>
      </c>
      <c r="H57" s="60" t="s">
        <v>58</v>
      </c>
      <c r="I57" s="60" t="s">
        <v>269</v>
      </c>
      <c r="J57" s="62">
        <f>E57/(Total!C7*10^6)*100</f>
        <v>0.1307277628032345</v>
      </c>
      <c r="K57" s="18">
        <v>2017</v>
      </c>
      <c r="L57" s="63" t="s">
        <v>311</v>
      </c>
      <c r="M57" s="18"/>
      <c r="N57" s="18"/>
    </row>
    <row r="58" spans="1:15" ht="142.5">
      <c r="A58" s="52">
        <v>50</v>
      </c>
      <c r="B58" s="60" t="s">
        <v>312</v>
      </c>
      <c r="C58" s="60" t="s">
        <v>313</v>
      </c>
      <c r="D58" s="60" t="s">
        <v>314</v>
      </c>
      <c r="E58" s="61">
        <v>91860</v>
      </c>
      <c r="F58" s="60"/>
      <c r="G58" s="60" t="s">
        <v>315</v>
      </c>
      <c r="H58" s="60" t="s">
        <v>80</v>
      </c>
      <c r="I58" s="60"/>
      <c r="J58" s="62">
        <f>E58/(Total!C7*10^6)*100</f>
        <v>0.12380053908355795</v>
      </c>
      <c r="K58" s="18">
        <v>2018</v>
      </c>
      <c r="L58" s="63" t="s">
        <v>92</v>
      </c>
      <c r="M58" s="18"/>
      <c r="N58" s="18"/>
    </row>
    <row r="59" spans="1:15" ht="49.5" customHeight="1">
      <c r="A59" s="52">
        <v>51</v>
      </c>
      <c r="B59" s="60" t="s">
        <v>316</v>
      </c>
      <c r="C59" s="60" t="s">
        <v>317</v>
      </c>
      <c r="D59" s="60" t="s">
        <v>203</v>
      </c>
      <c r="E59" s="61">
        <v>88572</v>
      </c>
      <c r="F59" s="60"/>
      <c r="G59" s="60" t="s">
        <v>307</v>
      </c>
      <c r="H59" s="60" t="s">
        <v>281</v>
      </c>
      <c r="I59" s="60" t="s">
        <v>282</v>
      </c>
      <c r="J59" s="62">
        <f>E59/(Total!C7*10^6)*100</f>
        <v>0.11936927223719677</v>
      </c>
      <c r="K59" s="18">
        <v>2018</v>
      </c>
      <c r="L59" s="63" t="s">
        <v>195</v>
      </c>
      <c r="M59" s="18"/>
      <c r="N59" s="18"/>
    </row>
    <row r="60" spans="1:15" ht="49.5" customHeight="1">
      <c r="A60" s="52">
        <v>52</v>
      </c>
      <c r="B60" s="60" t="s">
        <v>318</v>
      </c>
      <c r="C60" s="60" t="s">
        <v>148</v>
      </c>
      <c r="D60" s="60" t="s">
        <v>108</v>
      </c>
      <c r="E60" s="61">
        <v>88515</v>
      </c>
      <c r="F60" s="60"/>
      <c r="G60" s="60" t="s">
        <v>319</v>
      </c>
      <c r="H60" s="60" t="s">
        <v>281</v>
      </c>
      <c r="I60" s="60" t="s">
        <v>282</v>
      </c>
      <c r="J60" s="62">
        <f>E60/(Total!C7*10^6)*100</f>
        <v>0.11929245283018867</v>
      </c>
      <c r="K60" s="18">
        <v>2018</v>
      </c>
      <c r="L60" s="63" t="s">
        <v>195</v>
      </c>
      <c r="M60" s="18"/>
      <c r="N60" s="18"/>
    </row>
    <row r="61" spans="1:15" ht="49.5" customHeight="1">
      <c r="A61" s="52">
        <v>53</v>
      </c>
      <c r="B61" s="60" t="s">
        <v>320</v>
      </c>
      <c r="C61" s="60" t="s">
        <v>321</v>
      </c>
      <c r="D61" s="60" t="s">
        <v>123</v>
      </c>
      <c r="E61" s="61">
        <v>86215</v>
      </c>
      <c r="F61" s="60"/>
      <c r="G61" s="60" t="s">
        <v>307</v>
      </c>
      <c r="H61" s="60" t="s">
        <v>281</v>
      </c>
      <c r="I61" s="60" t="s">
        <v>282</v>
      </c>
      <c r="J61" s="62">
        <f>E61/(Total!C7*10^6)*100</f>
        <v>0.11619272237196765</v>
      </c>
      <c r="K61" s="18">
        <v>2018</v>
      </c>
      <c r="L61" s="63" t="s">
        <v>195</v>
      </c>
      <c r="M61" s="18"/>
      <c r="N61" s="18"/>
    </row>
    <row r="62" spans="1:15" ht="49.5" customHeight="1">
      <c r="A62" s="52">
        <v>54</v>
      </c>
      <c r="B62" s="60" t="s">
        <v>322</v>
      </c>
      <c r="C62" s="75" t="s">
        <v>323</v>
      </c>
      <c r="D62" s="75" t="s">
        <v>77</v>
      </c>
      <c r="E62" s="61">
        <v>85707</v>
      </c>
      <c r="F62" s="60"/>
      <c r="G62" s="75" t="s">
        <v>324</v>
      </c>
      <c r="H62" s="74" t="s">
        <v>325</v>
      </c>
      <c r="I62" s="60" t="s">
        <v>326</v>
      </c>
      <c r="J62" s="62">
        <f>E62/(Total!C7*10^6)*100</f>
        <v>0.11550808625336927</v>
      </c>
      <c r="K62" s="18">
        <v>2018</v>
      </c>
      <c r="L62" s="63" t="s">
        <v>195</v>
      </c>
      <c r="M62" s="18"/>
      <c r="N62" s="18"/>
    </row>
    <row r="63" spans="1:15" ht="49.5" customHeight="1">
      <c r="A63" s="52">
        <v>55</v>
      </c>
      <c r="B63" s="60" t="s">
        <v>327</v>
      </c>
      <c r="C63" s="60" t="s">
        <v>279</v>
      </c>
      <c r="D63" s="60" t="s">
        <v>203</v>
      </c>
      <c r="E63" s="61">
        <v>80650</v>
      </c>
      <c r="F63" s="60"/>
      <c r="G63" s="60" t="s">
        <v>328</v>
      </c>
      <c r="H63" s="60" t="s">
        <v>281</v>
      </c>
      <c r="I63" s="60" t="s">
        <v>282</v>
      </c>
      <c r="J63" s="62">
        <f>E63/(Total!C7*10^6)*100</f>
        <v>0.10869272237196766</v>
      </c>
      <c r="K63" s="18">
        <v>2018</v>
      </c>
      <c r="L63" s="63" t="s">
        <v>146</v>
      </c>
      <c r="M63" s="18"/>
      <c r="N63" s="18"/>
    </row>
    <row r="64" spans="1:15" ht="63.75" customHeight="1">
      <c r="A64" s="52">
        <v>56</v>
      </c>
      <c r="B64" s="60" t="s">
        <v>329</v>
      </c>
      <c r="C64" s="60" t="s">
        <v>227</v>
      </c>
      <c r="D64" s="60" t="s">
        <v>227</v>
      </c>
      <c r="E64" s="61">
        <f>2*298+74802+7*25</f>
        <v>75573</v>
      </c>
      <c r="F64" s="60" t="s">
        <v>330</v>
      </c>
      <c r="G64" s="60" t="s">
        <v>218</v>
      </c>
      <c r="H64" s="60" t="s">
        <v>219</v>
      </c>
      <c r="I64" s="60"/>
      <c r="J64" s="62">
        <f>E64/(Total!C7*10^6)*100</f>
        <v>0.10185040431266847</v>
      </c>
      <c r="K64" s="18">
        <v>2017</v>
      </c>
      <c r="L64" s="18" t="s">
        <v>220</v>
      </c>
      <c r="M64" s="18"/>
      <c r="N64" s="18"/>
    </row>
    <row r="65" spans="1:14" ht="142.5">
      <c r="A65" s="52">
        <v>57</v>
      </c>
      <c r="B65" s="60" t="s">
        <v>331</v>
      </c>
      <c r="C65" s="60" t="s">
        <v>123</v>
      </c>
      <c r="D65" s="60" t="s">
        <v>123</v>
      </c>
      <c r="E65" s="61">
        <f>2*298+68385+6.3*25</f>
        <v>69138.5</v>
      </c>
      <c r="F65" s="68" t="s">
        <v>332</v>
      </c>
      <c r="G65" s="60" t="s">
        <v>333</v>
      </c>
      <c r="H65" s="60" t="s">
        <v>334</v>
      </c>
      <c r="I65" s="60"/>
      <c r="J65" s="62">
        <f>E65/(Total!C7*10^6)*100</f>
        <v>9.317857142857143E-2</v>
      </c>
      <c r="K65" s="18">
        <v>2017</v>
      </c>
      <c r="L65" s="18" t="s">
        <v>220</v>
      </c>
      <c r="M65" s="18"/>
      <c r="N65" s="18"/>
    </row>
    <row r="66" spans="1:14" ht="128.25">
      <c r="A66" s="52">
        <v>58</v>
      </c>
      <c r="B66" s="60" t="s">
        <v>335</v>
      </c>
      <c r="C66" s="60" t="s">
        <v>336</v>
      </c>
      <c r="D66" s="60" t="s">
        <v>85</v>
      </c>
      <c r="E66" s="61">
        <f>2710*25</f>
        <v>67750</v>
      </c>
      <c r="F66" s="60" t="s">
        <v>337</v>
      </c>
      <c r="G66" s="60" t="s">
        <v>338</v>
      </c>
      <c r="H66" s="60" t="s">
        <v>58</v>
      </c>
      <c r="I66" s="60" t="s">
        <v>269</v>
      </c>
      <c r="J66" s="62">
        <f>E66/(Total!C7*10^6)*100</f>
        <v>9.1307277628032341E-2</v>
      </c>
      <c r="K66" s="18">
        <v>2017</v>
      </c>
      <c r="L66" s="63" t="s">
        <v>339</v>
      </c>
      <c r="M66" s="18"/>
      <c r="N66" s="18"/>
    </row>
    <row r="67" spans="1:14" ht="142.5">
      <c r="A67" s="52">
        <v>59</v>
      </c>
      <c r="B67" s="60" t="s">
        <v>340</v>
      </c>
      <c r="C67" s="60" t="s">
        <v>341</v>
      </c>
      <c r="D67" s="60" t="s">
        <v>77</v>
      </c>
      <c r="E67" s="61">
        <v>65261</v>
      </c>
      <c r="F67" s="60"/>
      <c r="G67" s="60" t="s">
        <v>342</v>
      </c>
      <c r="H67" s="60" t="s">
        <v>125</v>
      </c>
      <c r="I67" s="60" t="s">
        <v>343</v>
      </c>
      <c r="J67" s="62">
        <f>E67/(Total!C7*10^6)*100</f>
        <v>8.7952830188679249E-2</v>
      </c>
      <c r="K67" s="18">
        <v>2018</v>
      </c>
      <c r="L67" s="63" t="s">
        <v>195</v>
      </c>
      <c r="M67" s="18"/>
      <c r="N67" s="18"/>
    </row>
    <row r="68" spans="1:14" ht="142.5">
      <c r="A68" s="52">
        <v>60</v>
      </c>
      <c r="B68" s="68" t="s">
        <v>344</v>
      </c>
      <c r="C68" s="68" t="s">
        <v>111</v>
      </c>
      <c r="D68" s="68" t="s">
        <v>95</v>
      </c>
      <c r="E68" s="69">
        <f>2*298+62448+6*25</f>
        <v>63194</v>
      </c>
      <c r="F68" s="68" t="s">
        <v>345</v>
      </c>
      <c r="G68" s="68" t="s">
        <v>333</v>
      </c>
      <c r="H68" s="60" t="s">
        <v>334</v>
      </c>
      <c r="I68" s="60"/>
      <c r="J68" s="62">
        <f>E68/(Total!C7*10^6)*100</f>
        <v>8.5167115902964954E-2</v>
      </c>
      <c r="K68" s="18">
        <v>2017</v>
      </c>
      <c r="L68" s="18" t="s">
        <v>220</v>
      </c>
      <c r="M68" s="18"/>
      <c r="N68" s="18"/>
    </row>
    <row r="69" spans="1:14" ht="128.25">
      <c r="A69" s="52">
        <v>61</v>
      </c>
      <c r="B69" s="60" t="s">
        <v>346</v>
      </c>
      <c r="C69" s="60" t="s">
        <v>347</v>
      </c>
      <c r="D69" s="60" t="s">
        <v>273</v>
      </c>
      <c r="E69" s="61">
        <f>2510*25</f>
        <v>62750</v>
      </c>
      <c r="F69" s="60" t="s">
        <v>348</v>
      </c>
      <c r="G69" s="60" t="s">
        <v>349</v>
      </c>
      <c r="H69" s="60" t="s">
        <v>58</v>
      </c>
      <c r="I69" s="60" t="s">
        <v>269</v>
      </c>
      <c r="J69" s="62">
        <f>E69/(Total!C7*10^6)*100</f>
        <v>8.4568733153638803E-2</v>
      </c>
      <c r="K69" s="18">
        <v>2017</v>
      </c>
      <c r="L69" s="63" t="s">
        <v>350</v>
      </c>
      <c r="M69" s="18"/>
      <c r="N69" s="18"/>
    </row>
    <row r="70" spans="1:14" ht="142.5">
      <c r="A70" s="52">
        <v>62</v>
      </c>
      <c r="B70" s="60" t="s">
        <v>351</v>
      </c>
      <c r="C70" s="60" t="s">
        <v>352</v>
      </c>
      <c r="D70" s="60" t="s">
        <v>129</v>
      </c>
      <c r="E70" s="61">
        <v>61533</v>
      </c>
      <c r="F70" s="60"/>
      <c r="G70" s="60" t="s">
        <v>353</v>
      </c>
      <c r="H70" s="60" t="s">
        <v>80</v>
      </c>
      <c r="I70" s="60"/>
      <c r="J70" s="62">
        <f>E70/(Total!C7*10^6)*100</f>
        <v>8.2928571428571421E-2</v>
      </c>
      <c r="K70" s="18">
        <v>2018</v>
      </c>
      <c r="L70" s="70" t="s">
        <v>92</v>
      </c>
      <c r="M70" s="18"/>
      <c r="N70" s="18"/>
    </row>
    <row r="71" spans="1:14" ht="128.25">
      <c r="A71" s="52">
        <v>63</v>
      </c>
      <c r="B71" s="60" t="s">
        <v>354</v>
      </c>
      <c r="C71" s="60" t="s">
        <v>355</v>
      </c>
      <c r="D71" s="60" t="s">
        <v>116</v>
      </c>
      <c r="E71" s="61">
        <f>2250*25</f>
        <v>56250</v>
      </c>
      <c r="F71" s="60" t="s">
        <v>356</v>
      </c>
      <c r="G71" s="60" t="s">
        <v>357</v>
      </c>
      <c r="H71" s="60" t="s">
        <v>58</v>
      </c>
      <c r="I71" s="60" t="s">
        <v>269</v>
      </c>
      <c r="J71" s="62">
        <f>E71/(Total!C7*10^6)*100</f>
        <v>7.5808625336927227E-2</v>
      </c>
      <c r="K71" s="18">
        <v>2017</v>
      </c>
      <c r="L71" s="63" t="s">
        <v>358</v>
      </c>
      <c r="M71" s="18"/>
      <c r="N71" s="18"/>
    </row>
    <row r="72" spans="1:14" ht="156.75">
      <c r="A72" s="52">
        <v>64</v>
      </c>
      <c r="B72" s="68" t="s">
        <v>359</v>
      </c>
      <c r="C72" s="60" t="s">
        <v>360</v>
      </c>
      <c r="D72" s="68" t="s">
        <v>85</v>
      </c>
      <c r="E72" s="69">
        <v>53885</v>
      </c>
      <c r="F72" s="68"/>
      <c r="G72" s="68" t="s">
        <v>361</v>
      </c>
      <c r="H72" s="60" t="s">
        <v>103</v>
      </c>
      <c r="I72" s="60" t="s">
        <v>362</v>
      </c>
      <c r="J72" s="62">
        <f>E72/(Total!C7*10^6)*100</f>
        <v>7.2621293800539083E-2</v>
      </c>
      <c r="K72" s="18">
        <v>2018</v>
      </c>
      <c r="L72" s="63" t="s">
        <v>195</v>
      </c>
      <c r="M72" s="18"/>
      <c r="N72" s="18"/>
    </row>
    <row r="73" spans="1:14" ht="128.25">
      <c r="A73" s="52">
        <v>65</v>
      </c>
      <c r="B73" s="60" t="s">
        <v>363</v>
      </c>
      <c r="C73" s="60" t="s">
        <v>364</v>
      </c>
      <c r="D73" s="60" t="s">
        <v>95</v>
      </c>
      <c r="E73" s="61">
        <f>2130*25</f>
        <v>53250</v>
      </c>
      <c r="F73" s="60" t="s">
        <v>365</v>
      </c>
      <c r="G73" s="60" t="s">
        <v>357</v>
      </c>
      <c r="H73" s="60" t="s">
        <v>58</v>
      </c>
      <c r="I73" s="60" t="s">
        <v>269</v>
      </c>
      <c r="J73" s="62">
        <f>E73/(Total!C7*10^6)*100</f>
        <v>7.1765498652291107E-2</v>
      </c>
      <c r="K73" s="18">
        <v>2017</v>
      </c>
      <c r="L73" s="63" t="s">
        <v>366</v>
      </c>
      <c r="M73" s="18"/>
      <c r="N73" s="18"/>
    </row>
    <row r="74" spans="1:14" ht="137.25" customHeight="1">
      <c r="A74" s="52">
        <v>66</v>
      </c>
      <c r="B74" s="60" t="s">
        <v>367</v>
      </c>
      <c r="C74" s="60" t="s">
        <v>368</v>
      </c>
      <c r="D74" s="60" t="s">
        <v>95</v>
      </c>
      <c r="E74" s="61">
        <v>53091</v>
      </c>
      <c r="F74" s="60"/>
      <c r="G74" s="75" t="s">
        <v>369</v>
      </c>
      <c r="H74" s="74" t="s">
        <v>325</v>
      </c>
      <c r="I74" s="60" t="s">
        <v>370</v>
      </c>
      <c r="J74" s="62">
        <f>E74/(Total!C7*10^6)*100</f>
        <v>7.1551212938005399E-2</v>
      </c>
      <c r="K74" s="18">
        <v>2018</v>
      </c>
      <c r="L74" s="63" t="s">
        <v>195</v>
      </c>
      <c r="M74" s="18"/>
      <c r="N74" s="18"/>
    </row>
    <row r="75" spans="1:14" ht="133.5" customHeight="1">
      <c r="A75" s="52">
        <v>67</v>
      </c>
      <c r="B75" s="60" t="s">
        <v>371</v>
      </c>
      <c r="C75" s="60" t="s">
        <v>352</v>
      </c>
      <c r="D75" s="60" t="s">
        <v>129</v>
      </c>
      <c r="E75" s="61">
        <v>52842</v>
      </c>
      <c r="F75" s="60"/>
      <c r="G75" s="60" t="s">
        <v>372</v>
      </c>
      <c r="H75" s="60" t="s">
        <v>165</v>
      </c>
      <c r="I75" s="60" t="s">
        <v>373</v>
      </c>
      <c r="J75" s="62">
        <f>E75/(Total!C7*10^6)*100</f>
        <v>7.1215633423180588E-2</v>
      </c>
      <c r="K75" s="18">
        <v>2018</v>
      </c>
      <c r="L75" s="63" t="s">
        <v>195</v>
      </c>
      <c r="M75" s="18"/>
      <c r="N75" s="18"/>
    </row>
    <row r="76" spans="1:14" ht="133.5" customHeight="1">
      <c r="A76" s="52">
        <v>68</v>
      </c>
      <c r="B76" s="60" t="s">
        <v>374</v>
      </c>
      <c r="D76" s="60" t="s">
        <v>375</v>
      </c>
      <c r="E76" s="61">
        <f>2000*25</f>
        <v>50000</v>
      </c>
      <c r="F76" s="60" t="s">
        <v>376</v>
      </c>
      <c r="G76" s="60" t="s">
        <v>377</v>
      </c>
      <c r="H76" s="60" t="s">
        <v>58</v>
      </c>
      <c r="I76" s="60" t="s">
        <v>269</v>
      </c>
      <c r="J76" s="62">
        <f>E76/(Total!C7*10^6)*100</f>
        <v>6.7385444743935319E-2</v>
      </c>
      <c r="K76" s="18">
        <v>2017</v>
      </c>
      <c r="L76" s="63" t="s">
        <v>378</v>
      </c>
      <c r="M76" s="18"/>
      <c r="N76" s="18"/>
    </row>
    <row r="77" spans="1:14" ht="133.5" customHeight="1">
      <c r="A77" s="52">
        <v>69</v>
      </c>
      <c r="B77" s="60" t="s">
        <v>379</v>
      </c>
      <c r="C77" s="60" t="s">
        <v>380</v>
      </c>
      <c r="D77" s="60" t="s">
        <v>77</v>
      </c>
      <c r="E77" s="61">
        <v>47177</v>
      </c>
      <c r="F77" s="60"/>
      <c r="G77" s="60" t="s">
        <v>379</v>
      </c>
      <c r="H77" s="60" t="s">
        <v>80</v>
      </c>
      <c r="I77" s="60" t="s">
        <v>381</v>
      </c>
      <c r="J77" s="62">
        <f>E77/(Total!C7*10^6)*100</f>
        <v>6.3580862533692717E-2</v>
      </c>
      <c r="K77" s="18">
        <v>2018</v>
      </c>
      <c r="L77" s="63" t="s">
        <v>195</v>
      </c>
      <c r="M77" s="18"/>
      <c r="N77" s="18"/>
    </row>
    <row r="78" spans="1:14" ht="133.5" customHeight="1">
      <c r="A78" s="52">
        <v>70</v>
      </c>
      <c r="B78" s="60" t="s">
        <v>382</v>
      </c>
      <c r="D78" s="60" t="s">
        <v>158</v>
      </c>
      <c r="E78" s="61">
        <f>1690*25</f>
        <v>42250</v>
      </c>
      <c r="F78" s="60" t="s">
        <v>383</v>
      </c>
      <c r="G78" s="60" t="s">
        <v>384</v>
      </c>
      <c r="H78" s="60" t="s">
        <v>58</v>
      </c>
      <c r="I78" s="60" t="s">
        <v>269</v>
      </c>
      <c r="J78" s="62">
        <f>E78/(Total!C7*10^6)*100</f>
        <v>5.6940700808625344E-2</v>
      </c>
      <c r="K78" s="18">
        <v>2017</v>
      </c>
      <c r="L78" s="63" t="s">
        <v>385</v>
      </c>
      <c r="M78" s="18"/>
      <c r="N78" s="18"/>
    </row>
    <row r="79" spans="1:14" ht="133.5" customHeight="1">
      <c r="A79" s="52">
        <v>71</v>
      </c>
      <c r="B79" s="60" t="s">
        <v>386</v>
      </c>
      <c r="C79" s="60" t="s">
        <v>387</v>
      </c>
      <c r="D79" s="60" t="s">
        <v>388</v>
      </c>
      <c r="E79" s="61">
        <f>1640*25</f>
        <v>41000</v>
      </c>
      <c r="F79" s="60" t="s">
        <v>389</v>
      </c>
      <c r="G79" s="60" t="s">
        <v>390</v>
      </c>
      <c r="H79" s="60" t="s">
        <v>58</v>
      </c>
      <c r="I79" s="60" t="s">
        <v>269</v>
      </c>
      <c r="J79" s="62">
        <f>E79/(Total!C7*10^6)*100</f>
        <v>5.525606469002696E-2</v>
      </c>
      <c r="K79" s="18">
        <v>2017</v>
      </c>
      <c r="L79" s="63" t="s">
        <v>391</v>
      </c>
      <c r="M79" s="18"/>
      <c r="N79" s="18"/>
    </row>
    <row r="80" spans="1:14" ht="133.5" customHeight="1">
      <c r="A80" s="52">
        <v>72</v>
      </c>
      <c r="B80" s="60" t="s">
        <v>392</v>
      </c>
      <c r="D80" s="60" t="s">
        <v>393</v>
      </c>
      <c r="E80" s="61">
        <f>1640*25</f>
        <v>41000</v>
      </c>
      <c r="F80" s="60" t="s">
        <v>389</v>
      </c>
      <c r="G80" s="60" t="s">
        <v>357</v>
      </c>
      <c r="H80" s="60" t="s">
        <v>58</v>
      </c>
      <c r="I80" s="60" t="s">
        <v>269</v>
      </c>
      <c r="J80" s="62">
        <f>E80/(Total!C7*10^6)*100</f>
        <v>5.525606469002696E-2</v>
      </c>
      <c r="K80" s="18">
        <v>2017</v>
      </c>
      <c r="L80" s="63" t="s">
        <v>394</v>
      </c>
      <c r="M80" s="18"/>
      <c r="N80" s="18"/>
    </row>
    <row r="81" spans="1:14" ht="142.5">
      <c r="A81" s="52">
        <v>73</v>
      </c>
      <c r="B81" s="60" t="s">
        <v>395</v>
      </c>
      <c r="C81" s="60" t="s">
        <v>347</v>
      </c>
      <c r="D81" s="60" t="s">
        <v>273</v>
      </c>
      <c r="E81" s="61">
        <f>1*298+38733+3*25</f>
        <v>39106</v>
      </c>
      <c r="F81" s="60" t="s">
        <v>396</v>
      </c>
      <c r="G81" s="60" t="s">
        <v>218</v>
      </c>
      <c r="H81" s="60" t="s">
        <v>219</v>
      </c>
      <c r="I81" s="60"/>
      <c r="J81" s="62">
        <f>E81/(Total!C7*10^6)*100</f>
        <v>5.2703504043126688E-2</v>
      </c>
      <c r="K81" s="18">
        <v>2017</v>
      </c>
      <c r="L81" s="18" t="s">
        <v>220</v>
      </c>
      <c r="M81" s="18"/>
      <c r="N81" s="18"/>
    </row>
    <row r="82" spans="1:14" ht="142.5">
      <c r="A82" s="52">
        <v>74</v>
      </c>
      <c r="B82" s="60" t="s">
        <v>397</v>
      </c>
      <c r="C82" s="60" t="s">
        <v>279</v>
      </c>
      <c r="D82" s="60" t="s">
        <v>203</v>
      </c>
      <c r="E82" s="61">
        <v>38816</v>
      </c>
      <c r="F82" s="60"/>
      <c r="G82" s="60" t="s">
        <v>398</v>
      </c>
      <c r="H82" s="60" t="s">
        <v>281</v>
      </c>
      <c r="I82" s="60" t="s">
        <v>282</v>
      </c>
      <c r="J82" s="62">
        <f>E82/(Total!C7*10^6)*100</f>
        <v>5.2312668463611857E-2</v>
      </c>
      <c r="K82" s="18">
        <v>2018</v>
      </c>
      <c r="L82" s="63" t="s">
        <v>195</v>
      </c>
      <c r="M82" s="18"/>
      <c r="N82" s="18"/>
    </row>
    <row r="83" spans="1:14" ht="128.25">
      <c r="A83" s="52">
        <v>75</v>
      </c>
      <c r="B83" s="60" t="s">
        <v>399</v>
      </c>
      <c r="C83" s="60" t="s">
        <v>400</v>
      </c>
      <c r="D83" s="60" t="s">
        <v>77</v>
      </c>
      <c r="E83" s="61">
        <f>1510*25</f>
        <v>37750</v>
      </c>
      <c r="F83" s="60" t="s">
        <v>401</v>
      </c>
      <c r="G83" s="60" t="s">
        <v>402</v>
      </c>
      <c r="H83" s="60" t="s">
        <v>58</v>
      </c>
      <c r="I83" s="60" t="s">
        <v>269</v>
      </c>
      <c r="J83" s="62">
        <f>E83/(Total!C7*10^6)*100</f>
        <v>5.0876010781671165E-2</v>
      </c>
      <c r="K83" s="18">
        <v>2017</v>
      </c>
      <c r="L83" s="63" t="s">
        <v>403</v>
      </c>
      <c r="M83" s="18"/>
      <c r="N83" s="18"/>
    </row>
    <row r="84" spans="1:14" ht="142.5">
      <c r="A84" s="52">
        <v>76</v>
      </c>
      <c r="B84" s="60" t="s">
        <v>404</v>
      </c>
      <c r="C84" s="60" t="s">
        <v>405</v>
      </c>
      <c r="D84" s="60" t="s">
        <v>108</v>
      </c>
      <c r="E84" s="61">
        <v>37125</v>
      </c>
      <c r="F84" s="68"/>
      <c r="G84" s="60" t="s">
        <v>404</v>
      </c>
      <c r="H84" s="60" t="s">
        <v>103</v>
      </c>
      <c r="I84" s="60"/>
      <c r="J84" s="62">
        <f>E84/(Total!C7*10^6)*100</f>
        <v>5.0033692722371965E-2</v>
      </c>
      <c r="K84" s="18">
        <v>2018</v>
      </c>
      <c r="L84" s="63" t="s">
        <v>195</v>
      </c>
      <c r="M84" s="18"/>
      <c r="N84" s="18"/>
    </row>
    <row r="85" spans="1:14" ht="199.5">
      <c r="A85" s="52">
        <v>77</v>
      </c>
      <c r="B85" s="60" t="s">
        <v>406</v>
      </c>
      <c r="C85" s="60" t="s">
        <v>407</v>
      </c>
      <c r="D85" s="60" t="s">
        <v>95</v>
      </c>
      <c r="E85" s="61">
        <v>36884</v>
      </c>
      <c r="F85" s="60"/>
      <c r="G85" s="60" t="s">
        <v>408</v>
      </c>
      <c r="H85" s="60" t="s">
        <v>80</v>
      </c>
      <c r="I85" s="60" t="s">
        <v>409</v>
      </c>
      <c r="J85" s="62">
        <f>E85/(Total!C7*10^6)*100</f>
        <v>4.9708894878706195E-2</v>
      </c>
      <c r="K85" s="18">
        <v>2018</v>
      </c>
      <c r="L85" s="63" t="s">
        <v>195</v>
      </c>
      <c r="M85" s="18"/>
      <c r="N85" s="18"/>
    </row>
    <row r="86" spans="1:14" ht="128.25">
      <c r="A86" s="52">
        <v>78</v>
      </c>
      <c r="B86" s="60" t="s">
        <v>410</v>
      </c>
      <c r="D86" s="60" t="s">
        <v>411</v>
      </c>
      <c r="E86" s="61">
        <f>1470*25</f>
        <v>36750</v>
      </c>
      <c r="F86" s="60" t="s">
        <v>412</v>
      </c>
      <c r="G86" s="60" t="s">
        <v>413</v>
      </c>
      <c r="H86" s="60" t="s">
        <v>58</v>
      </c>
      <c r="I86" s="60" t="s">
        <v>269</v>
      </c>
      <c r="J86" s="62">
        <f>E86/(Total!C7*10^6)*100</f>
        <v>4.9528301886792449E-2</v>
      </c>
      <c r="K86" s="18">
        <v>2017</v>
      </c>
      <c r="L86" s="63" t="s">
        <v>414</v>
      </c>
      <c r="M86" s="18"/>
      <c r="N86" s="18"/>
    </row>
    <row r="87" spans="1:14" ht="142.5">
      <c r="A87" s="52">
        <v>79</v>
      </c>
      <c r="B87" s="60" t="s">
        <v>415</v>
      </c>
      <c r="D87" s="60" t="s">
        <v>95</v>
      </c>
      <c r="E87" s="61">
        <v>36539</v>
      </c>
      <c r="F87" s="68"/>
      <c r="G87" s="60" t="s">
        <v>415</v>
      </c>
      <c r="H87" s="60" t="s">
        <v>80</v>
      </c>
      <c r="I87" s="60"/>
      <c r="J87" s="62">
        <f>E87/(Total!C7*10^6)*100</f>
        <v>4.9243935309973043E-2</v>
      </c>
      <c r="K87" s="18">
        <v>2018</v>
      </c>
      <c r="L87" s="63" t="s">
        <v>195</v>
      </c>
      <c r="M87" s="18"/>
      <c r="N87" s="18"/>
    </row>
    <row r="88" spans="1:14" ht="142.5">
      <c r="A88" s="52">
        <v>80</v>
      </c>
      <c r="B88" s="60" t="s">
        <v>416</v>
      </c>
      <c r="C88" s="60" t="s">
        <v>417</v>
      </c>
      <c r="D88" s="60" t="s">
        <v>203</v>
      </c>
      <c r="E88" s="61">
        <v>36505</v>
      </c>
      <c r="F88" s="60"/>
      <c r="G88" s="60" t="s">
        <v>418</v>
      </c>
      <c r="H88" s="76" t="s">
        <v>419</v>
      </c>
      <c r="I88" s="60"/>
      <c r="J88" s="62">
        <f>E88/(Total!C7*10^6)*100</f>
        <v>4.9198113207547169E-2</v>
      </c>
      <c r="K88" s="18">
        <v>2018</v>
      </c>
      <c r="L88" s="63" t="s">
        <v>195</v>
      </c>
      <c r="M88" s="18"/>
      <c r="N88" s="18"/>
    </row>
    <row r="89" spans="1:14" ht="114.75">
      <c r="A89" s="52">
        <v>81</v>
      </c>
      <c r="B89" s="60" t="s">
        <v>420</v>
      </c>
      <c r="C89" s="60" t="s">
        <v>421</v>
      </c>
      <c r="D89" s="60" t="s">
        <v>240</v>
      </c>
      <c r="E89" s="61">
        <f>0.7*298+34731+3*25</f>
        <v>35014.6</v>
      </c>
      <c r="F89" s="60" t="s">
        <v>422</v>
      </c>
      <c r="G89" s="60" t="s">
        <v>333</v>
      </c>
      <c r="H89" s="60" t="s">
        <v>219</v>
      </c>
      <c r="I89" s="60"/>
      <c r="J89" s="62">
        <f>E89/(Total!C7*10^6)*100</f>
        <v>4.7189487870619939E-2</v>
      </c>
      <c r="K89" s="18">
        <v>2017</v>
      </c>
      <c r="L89" s="72" t="s">
        <v>220</v>
      </c>
      <c r="M89" s="18"/>
      <c r="N89" s="18"/>
    </row>
    <row r="90" spans="1:14" ht="66.2" customHeight="1">
      <c r="A90" s="52">
        <v>82</v>
      </c>
      <c r="B90" s="60" t="s">
        <v>423</v>
      </c>
      <c r="C90" s="60" t="s">
        <v>76</v>
      </c>
      <c r="D90" s="60" t="s">
        <v>77</v>
      </c>
      <c r="E90" s="61">
        <v>34653</v>
      </c>
      <c r="F90" s="60"/>
      <c r="G90" s="60" t="s">
        <v>298</v>
      </c>
      <c r="H90" s="60" t="s">
        <v>165</v>
      </c>
      <c r="I90" s="60"/>
      <c r="J90" s="62">
        <f>E90/(Total!C7*10^6)*100</f>
        <v>4.6702156334231811E-2</v>
      </c>
      <c r="K90" s="18">
        <v>2018</v>
      </c>
      <c r="L90" s="63" t="s">
        <v>195</v>
      </c>
      <c r="M90" s="18"/>
      <c r="N90" s="18"/>
    </row>
    <row r="91" spans="1:14" ht="142.5">
      <c r="A91" s="52">
        <v>83</v>
      </c>
      <c r="B91" s="60" t="s">
        <v>424</v>
      </c>
      <c r="C91" s="60" t="s">
        <v>347</v>
      </c>
      <c r="D91" s="60" t="s">
        <v>273</v>
      </c>
      <c r="E91" s="61">
        <f>0.9*298+32752+3*25</f>
        <v>33095.199999999997</v>
      </c>
      <c r="F91" s="68" t="s">
        <v>425</v>
      </c>
      <c r="G91" s="60" t="s">
        <v>333</v>
      </c>
      <c r="H91" s="60" t="s">
        <v>334</v>
      </c>
      <c r="I91" s="60"/>
      <c r="J91" s="62">
        <f>E91/(Total!C7*10^6)*100</f>
        <v>4.4602695417789752E-2</v>
      </c>
      <c r="K91" s="18">
        <v>2017</v>
      </c>
      <c r="L91" s="18" t="s">
        <v>220</v>
      </c>
      <c r="M91" s="18"/>
      <c r="N91" s="18"/>
    </row>
    <row r="92" spans="1:14" ht="69.95" customHeight="1">
      <c r="A92" s="52">
        <v>84</v>
      </c>
      <c r="B92" s="60" t="s">
        <v>426</v>
      </c>
      <c r="C92" s="60" t="s">
        <v>427</v>
      </c>
      <c r="D92" s="60" t="s">
        <v>123</v>
      </c>
      <c r="E92" s="61">
        <v>31801</v>
      </c>
      <c r="F92" s="60"/>
      <c r="G92" s="60" t="s">
        <v>426</v>
      </c>
      <c r="H92" s="60" t="s">
        <v>428</v>
      </c>
      <c r="I92" s="60" t="s">
        <v>429</v>
      </c>
      <c r="J92" s="62">
        <f>E92/(Total!C7*10^6)*100</f>
        <v>4.2858490566037737E-2</v>
      </c>
      <c r="K92" s="18">
        <v>2018</v>
      </c>
      <c r="L92" s="63" t="s">
        <v>195</v>
      </c>
      <c r="M92" s="18"/>
      <c r="N92" s="18"/>
    </row>
    <row r="93" spans="1:14" ht="128.25">
      <c r="A93" s="52">
        <v>85</v>
      </c>
      <c r="B93" s="60" t="s">
        <v>430</v>
      </c>
      <c r="C93" s="60" t="s">
        <v>431</v>
      </c>
      <c r="D93" s="60" t="s">
        <v>123</v>
      </c>
      <c r="E93" s="61">
        <f>1270*25</f>
        <v>31750</v>
      </c>
      <c r="F93" s="60" t="s">
        <v>432</v>
      </c>
      <c r="G93" s="60" t="s">
        <v>433</v>
      </c>
      <c r="H93" s="60" t="s">
        <v>58</v>
      </c>
      <c r="I93" s="60" t="s">
        <v>269</v>
      </c>
      <c r="J93" s="62">
        <f>E93/(Total!C7*10^6)*100</f>
        <v>4.2789757412398925E-2</v>
      </c>
      <c r="K93" s="18">
        <v>2017</v>
      </c>
      <c r="L93" s="63" t="s">
        <v>434</v>
      </c>
      <c r="M93" s="18"/>
      <c r="N93" s="18"/>
    </row>
    <row r="94" spans="1:14" ht="142.5">
      <c r="A94" s="52">
        <v>86</v>
      </c>
      <c r="B94" s="68" t="s">
        <v>435</v>
      </c>
      <c r="C94" s="68" t="s">
        <v>436</v>
      </c>
      <c r="D94" s="68" t="s">
        <v>129</v>
      </c>
      <c r="E94" s="69">
        <v>31638</v>
      </c>
      <c r="F94" s="68"/>
      <c r="G94" s="68" t="s">
        <v>437</v>
      </c>
      <c r="H94" s="60" t="s">
        <v>165</v>
      </c>
      <c r="I94" s="60"/>
      <c r="J94" s="62">
        <f>E94/(Total!C7*10^6)*100</f>
        <v>4.2638814016172512E-2</v>
      </c>
      <c r="K94" s="18">
        <v>2018</v>
      </c>
      <c r="L94" s="63" t="s">
        <v>92</v>
      </c>
      <c r="M94" s="18"/>
      <c r="N94" s="18"/>
    </row>
    <row r="95" spans="1:14" ht="142.5">
      <c r="A95" s="52">
        <v>87</v>
      </c>
      <c r="B95" s="68" t="s">
        <v>438</v>
      </c>
      <c r="C95" s="68" t="s">
        <v>352</v>
      </c>
      <c r="D95" s="68" t="s">
        <v>129</v>
      </c>
      <c r="E95" s="69">
        <v>31608</v>
      </c>
      <c r="F95" s="68"/>
      <c r="G95" s="68" t="s">
        <v>439</v>
      </c>
      <c r="H95" s="60" t="s">
        <v>80</v>
      </c>
      <c r="I95" s="60" t="s">
        <v>440</v>
      </c>
      <c r="J95" s="62">
        <f>E95/(Total!C7*10^6)*100</f>
        <v>4.2598382749326147E-2</v>
      </c>
      <c r="K95" s="18">
        <v>2018</v>
      </c>
      <c r="L95" s="63" t="s">
        <v>92</v>
      </c>
      <c r="M95" s="18"/>
      <c r="N95" s="18"/>
    </row>
    <row r="96" spans="1:14" ht="142.5">
      <c r="A96" s="52">
        <v>88</v>
      </c>
      <c r="B96" s="60" t="s">
        <v>441</v>
      </c>
      <c r="C96" s="60" t="s">
        <v>76</v>
      </c>
      <c r="D96" s="60" t="s">
        <v>77</v>
      </c>
      <c r="E96" s="61">
        <f>0.8*298+31200+3*25</f>
        <v>31513.4</v>
      </c>
      <c r="F96" s="68" t="s">
        <v>442</v>
      </c>
      <c r="G96" s="60" t="s">
        <v>443</v>
      </c>
      <c r="H96" s="60" t="s">
        <v>334</v>
      </c>
      <c r="I96" s="60"/>
      <c r="J96" s="62">
        <f>E96/(Total!C7*10^6)*100</f>
        <v>4.2470889487870624E-2</v>
      </c>
      <c r="K96" s="18">
        <v>2017</v>
      </c>
      <c r="L96" s="18" t="s">
        <v>220</v>
      </c>
      <c r="M96" s="18"/>
      <c r="N96" s="18"/>
    </row>
    <row r="97" spans="1:14" ht="81" customHeight="1">
      <c r="A97" s="52">
        <v>89</v>
      </c>
      <c r="B97" s="77" t="s">
        <v>444</v>
      </c>
      <c r="C97" s="77" t="s">
        <v>445</v>
      </c>
      <c r="D97" s="77" t="s">
        <v>123</v>
      </c>
      <c r="E97" s="78">
        <v>30788</v>
      </c>
      <c r="F97" s="77"/>
      <c r="G97" s="77" t="s">
        <v>446</v>
      </c>
      <c r="H97" s="60" t="s">
        <v>80</v>
      </c>
      <c r="I97" s="60"/>
      <c r="J97" s="62">
        <f>E97/(Total!C7*10^6)*100</f>
        <v>4.1493261455525607E-2</v>
      </c>
      <c r="K97" s="18">
        <v>2018</v>
      </c>
      <c r="L97" s="63" t="s">
        <v>92</v>
      </c>
      <c r="M97" s="18"/>
      <c r="N97" s="18"/>
    </row>
    <row r="98" spans="1:14" ht="69" customHeight="1">
      <c r="A98" s="52">
        <v>90</v>
      </c>
      <c r="B98" s="77" t="s">
        <v>447</v>
      </c>
      <c r="C98" s="77" t="s">
        <v>448</v>
      </c>
      <c r="D98" s="77" t="s">
        <v>203</v>
      </c>
      <c r="E98" s="78">
        <v>30430</v>
      </c>
      <c r="F98" s="77"/>
      <c r="G98" s="77" t="s">
        <v>447</v>
      </c>
      <c r="H98" s="60" t="s">
        <v>80</v>
      </c>
      <c r="I98" s="60" t="s">
        <v>449</v>
      </c>
      <c r="J98" s="62">
        <f>E98/(Total!C7*10^6)*100</f>
        <v>4.1010781671159027E-2</v>
      </c>
      <c r="K98" s="18">
        <v>2018</v>
      </c>
      <c r="L98" s="63" t="s">
        <v>195</v>
      </c>
      <c r="M98" s="18"/>
      <c r="N98" s="18"/>
    </row>
    <row r="99" spans="1:14" ht="156.75">
      <c r="A99" s="52">
        <v>91</v>
      </c>
      <c r="B99" s="77" t="s">
        <v>450</v>
      </c>
      <c r="C99" s="77" t="s">
        <v>451</v>
      </c>
      <c r="D99" s="77" t="s">
        <v>203</v>
      </c>
      <c r="E99" s="78">
        <v>30296</v>
      </c>
      <c r="F99" s="79"/>
      <c r="G99" s="77" t="s">
        <v>452</v>
      </c>
      <c r="H99" s="60" t="s">
        <v>453</v>
      </c>
      <c r="I99" s="60" t="s">
        <v>454</v>
      </c>
      <c r="J99" s="62">
        <f>E99/(Total!C7*10^6)*100</f>
        <v>4.0830188679245281E-2</v>
      </c>
      <c r="K99" s="18">
        <v>2018</v>
      </c>
      <c r="L99" s="63" t="s">
        <v>92</v>
      </c>
      <c r="M99" s="18"/>
      <c r="N99" s="18"/>
    </row>
    <row r="100" spans="1:14" ht="42.75" customHeight="1">
      <c r="A100" s="52">
        <v>92</v>
      </c>
      <c r="B100" s="77" t="s">
        <v>455</v>
      </c>
      <c r="C100" s="77" t="s">
        <v>456</v>
      </c>
      <c r="D100" s="77" t="s">
        <v>129</v>
      </c>
      <c r="E100" s="78">
        <v>30225</v>
      </c>
      <c r="F100" s="77"/>
      <c r="G100" s="77" t="s">
        <v>457</v>
      </c>
      <c r="H100" s="76" t="s">
        <v>419</v>
      </c>
      <c r="I100" s="60"/>
      <c r="J100" s="62">
        <f>E100/(Total!C7*10^6)*100</f>
        <v>4.0734501347708896E-2</v>
      </c>
      <c r="K100" s="18">
        <v>2018</v>
      </c>
      <c r="L100" s="63" t="s">
        <v>146</v>
      </c>
      <c r="M100" s="18"/>
      <c r="N100" s="18"/>
    </row>
    <row r="101" spans="1:14" ht="142.5">
      <c r="A101" s="52">
        <v>93</v>
      </c>
      <c r="B101" s="77" t="s">
        <v>458</v>
      </c>
      <c r="C101" s="77" t="s">
        <v>459</v>
      </c>
      <c r="D101" s="77" t="s">
        <v>460</v>
      </c>
      <c r="E101" s="78">
        <v>30055</v>
      </c>
      <c r="F101" s="77"/>
      <c r="G101" s="77" t="s">
        <v>315</v>
      </c>
      <c r="H101" s="60" t="s">
        <v>80</v>
      </c>
      <c r="I101" s="60"/>
      <c r="J101" s="62">
        <f>E101/(Total!C7*10^6)*100</f>
        <v>4.0505390835579518E-2</v>
      </c>
      <c r="K101" s="18">
        <v>2018</v>
      </c>
      <c r="L101" s="63" t="s">
        <v>92</v>
      </c>
      <c r="M101" s="18"/>
      <c r="N101" s="18"/>
    </row>
    <row r="102" spans="1:14" ht="128.25">
      <c r="A102" s="52">
        <v>94</v>
      </c>
      <c r="B102" s="77" t="s">
        <v>461</v>
      </c>
      <c r="C102" s="77" t="s">
        <v>462</v>
      </c>
      <c r="D102" s="77" t="s">
        <v>314</v>
      </c>
      <c r="E102" s="78">
        <f>1190*25</f>
        <v>29750</v>
      </c>
      <c r="F102" s="77" t="s">
        <v>463</v>
      </c>
      <c r="G102" s="77" t="s">
        <v>464</v>
      </c>
      <c r="H102" s="60" t="s">
        <v>58</v>
      </c>
      <c r="I102" s="60" t="s">
        <v>171</v>
      </c>
      <c r="J102" s="62">
        <f>E102/(Total!C7*10^6)*100</f>
        <v>4.0094339622641507E-2</v>
      </c>
      <c r="K102" s="18">
        <v>2017</v>
      </c>
      <c r="L102" s="63" t="s">
        <v>465</v>
      </c>
      <c r="M102" s="18"/>
      <c r="N102" s="18"/>
    </row>
    <row r="103" spans="1:14" ht="128.25">
      <c r="A103" s="52">
        <v>95</v>
      </c>
      <c r="B103" s="60" t="s">
        <v>466</v>
      </c>
      <c r="D103" s="60" t="s">
        <v>77</v>
      </c>
      <c r="E103" s="61">
        <f>1170*25</f>
        <v>29250</v>
      </c>
      <c r="F103" s="60" t="s">
        <v>467</v>
      </c>
      <c r="G103" s="60" t="s">
        <v>468</v>
      </c>
      <c r="H103" s="60" t="s">
        <v>58</v>
      </c>
      <c r="I103" s="60" t="s">
        <v>269</v>
      </c>
      <c r="J103" s="62">
        <f>E103/(Total!C7*10^6)*100</f>
        <v>3.9420485175202157E-2</v>
      </c>
      <c r="K103" s="1">
        <v>2017</v>
      </c>
      <c r="L103" s="63" t="s">
        <v>469</v>
      </c>
      <c r="M103" s="18"/>
      <c r="N103" s="18"/>
    </row>
    <row r="104" spans="1:14" ht="142.5">
      <c r="A104" s="52">
        <v>96</v>
      </c>
      <c r="B104" s="77" t="s">
        <v>470</v>
      </c>
      <c r="C104" s="77" t="s">
        <v>341</v>
      </c>
      <c r="D104" s="77" t="s">
        <v>77</v>
      </c>
      <c r="E104" s="78">
        <v>28716</v>
      </c>
      <c r="F104" s="77"/>
      <c r="G104" s="77" t="s">
        <v>342</v>
      </c>
      <c r="H104" s="60" t="s">
        <v>125</v>
      </c>
      <c r="I104" s="60" t="s">
        <v>343</v>
      </c>
      <c r="J104" s="62">
        <f>E104/(Total!C7*10^6)*100</f>
        <v>3.8700808625336931E-2</v>
      </c>
      <c r="K104" s="18">
        <v>2018</v>
      </c>
      <c r="L104" s="63" t="s">
        <v>195</v>
      </c>
      <c r="M104" s="18"/>
      <c r="N104" s="18"/>
    </row>
    <row r="105" spans="1:14" ht="142.5">
      <c r="A105" s="52">
        <v>97</v>
      </c>
      <c r="B105" s="80" t="s">
        <v>471</v>
      </c>
      <c r="C105" s="77" t="s">
        <v>472</v>
      </c>
      <c r="D105" s="77" t="s">
        <v>473</v>
      </c>
      <c r="E105" s="78">
        <v>28431</v>
      </c>
      <c r="F105" s="77"/>
      <c r="G105" s="77" t="s">
        <v>315</v>
      </c>
      <c r="H105" s="60" t="s">
        <v>80</v>
      </c>
      <c r="I105" s="60"/>
      <c r="J105" s="62">
        <f>E105/(Total!C7*10^6)*100</f>
        <v>3.8316711590296496E-2</v>
      </c>
      <c r="K105" s="18">
        <v>2018</v>
      </c>
      <c r="L105" s="63" t="s">
        <v>92</v>
      </c>
      <c r="M105" s="18"/>
      <c r="N105" s="18"/>
    </row>
    <row r="106" spans="1:14" ht="142.5">
      <c r="A106" s="52">
        <v>98</v>
      </c>
      <c r="B106" s="77" t="s">
        <v>474</v>
      </c>
      <c r="C106" s="77" t="s">
        <v>475</v>
      </c>
      <c r="D106" s="77" t="s">
        <v>129</v>
      </c>
      <c r="E106" s="78">
        <v>26637</v>
      </c>
      <c r="F106" s="79"/>
      <c r="G106" s="77" t="s">
        <v>474</v>
      </c>
      <c r="H106" s="76" t="s">
        <v>419</v>
      </c>
      <c r="I106" s="60"/>
      <c r="J106" s="62">
        <f>E106/(Total!C7*10^6)*100</f>
        <v>3.5898921832884102E-2</v>
      </c>
      <c r="K106" s="18">
        <v>2018</v>
      </c>
      <c r="L106" s="63" t="s">
        <v>195</v>
      </c>
      <c r="M106" s="18"/>
      <c r="N106" s="18"/>
    </row>
    <row r="107" spans="1:14" ht="142.5">
      <c r="A107" s="52">
        <v>99</v>
      </c>
      <c r="B107" s="79" t="s">
        <v>476</v>
      </c>
      <c r="C107" s="79" t="s">
        <v>477</v>
      </c>
      <c r="D107" s="79" t="s">
        <v>129</v>
      </c>
      <c r="E107" s="81">
        <v>26442</v>
      </c>
      <c r="F107" s="79"/>
      <c r="G107" s="79" t="s">
        <v>476</v>
      </c>
      <c r="H107" s="76" t="s">
        <v>419</v>
      </c>
      <c r="I107" s="60"/>
      <c r="J107" s="62">
        <f>E107/(Total!C7*10^6)*100</f>
        <v>3.5636118598382747E-2</v>
      </c>
      <c r="K107" s="18">
        <v>2018</v>
      </c>
      <c r="L107" s="63" t="s">
        <v>92</v>
      </c>
      <c r="M107" s="18"/>
      <c r="N107" s="18"/>
    </row>
    <row r="108" spans="1:14" ht="128.25">
      <c r="A108" s="52">
        <v>100</v>
      </c>
      <c r="B108" s="79" t="s">
        <v>478</v>
      </c>
      <c r="C108" s="79" t="s">
        <v>479</v>
      </c>
      <c r="D108" s="79" t="s">
        <v>77</v>
      </c>
      <c r="E108" s="81">
        <f>1050*25</f>
        <v>26250</v>
      </c>
      <c r="F108" s="79" t="s">
        <v>480</v>
      </c>
      <c r="G108" s="79" t="s">
        <v>402</v>
      </c>
      <c r="H108" s="60" t="s">
        <v>58</v>
      </c>
      <c r="I108" s="60" t="s">
        <v>269</v>
      </c>
      <c r="J108" s="62">
        <f>E108/(Total!C7*10^6)*100</f>
        <v>3.5377358490566037E-2</v>
      </c>
      <c r="K108" s="18">
        <v>2017</v>
      </c>
      <c r="L108" s="63" t="s">
        <v>481</v>
      </c>
      <c r="M108" s="18"/>
      <c r="N108" s="18"/>
    </row>
    <row r="109" spans="1:14" ht="142.5">
      <c r="A109" s="52">
        <v>101</v>
      </c>
      <c r="B109" s="77" t="s">
        <v>482</v>
      </c>
      <c r="C109" s="77" t="s">
        <v>483</v>
      </c>
      <c r="D109" s="77" t="s">
        <v>484</v>
      </c>
      <c r="E109" s="78">
        <v>25818</v>
      </c>
      <c r="F109" s="77"/>
      <c r="G109" s="77" t="s">
        <v>241</v>
      </c>
      <c r="H109" s="60" t="s">
        <v>80</v>
      </c>
      <c r="I109" s="60"/>
      <c r="J109" s="62">
        <f>E109/(Total!C7*10^6)*100</f>
        <v>3.4795148247978434E-2</v>
      </c>
      <c r="K109" s="18">
        <v>2018</v>
      </c>
      <c r="L109" s="63" t="s">
        <v>92</v>
      </c>
      <c r="M109" s="18"/>
      <c r="N109" s="18"/>
    </row>
    <row r="110" spans="1:14" ht="142.5">
      <c r="A110" s="52">
        <v>102</v>
      </c>
      <c r="B110" s="77" t="s">
        <v>485</v>
      </c>
      <c r="C110" s="77" t="s">
        <v>192</v>
      </c>
      <c r="D110" s="77" t="s">
        <v>85</v>
      </c>
      <c r="E110" s="78">
        <v>25757</v>
      </c>
      <c r="F110" s="77"/>
      <c r="G110" s="77" t="s">
        <v>485</v>
      </c>
      <c r="H110" s="60" t="s">
        <v>125</v>
      </c>
      <c r="I110" s="60" t="s">
        <v>343</v>
      </c>
      <c r="J110" s="62">
        <f>E110/(Total!C7*10^6)*100</f>
        <v>3.4712938005390839E-2</v>
      </c>
      <c r="K110" s="18">
        <v>2018</v>
      </c>
      <c r="L110" s="63" t="s">
        <v>92</v>
      </c>
      <c r="M110" s="18"/>
      <c r="N110" s="18"/>
    </row>
    <row r="111" spans="1:14" ht="142.5">
      <c r="A111" s="52">
        <v>103</v>
      </c>
      <c r="B111" s="77" t="s">
        <v>486</v>
      </c>
      <c r="C111" s="77" t="s">
        <v>487</v>
      </c>
      <c r="D111" s="77" t="s">
        <v>488</v>
      </c>
      <c r="E111" s="78">
        <v>24666</v>
      </c>
      <c r="F111" s="77"/>
      <c r="G111" s="77" t="s">
        <v>489</v>
      </c>
      <c r="H111" s="60" t="s">
        <v>165</v>
      </c>
      <c r="I111" s="60" t="s">
        <v>490</v>
      </c>
      <c r="J111" s="62">
        <f>E111/(Total!C7*10^6)*100</f>
        <v>3.324258760107817E-2</v>
      </c>
      <c r="K111" s="18">
        <v>2018</v>
      </c>
      <c r="L111" s="63" t="s">
        <v>195</v>
      </c>
      <c r="M111" s="18"/>
      <c r="N111" s="18"/>
    </row>
    <row r="112" spans="1:14" ht="128.25">
      <c r="A112" s="52">
        <v>104</v>
      </c>
      <c r="B112" s="79" t="s">
        <v>491</v>
      </c>
      <c r="C112" s="79" t="s">
        <v>168</v>
      </c>
      <c r="D112" s="79" t="s">
        <v>123</v>
      </c>
      <c r="E112" s="81">
        <f>963*25</f>
        <v>24075</v>
      </c>
      <c r="F112" s="79" t="s">
        <v>492</v>
      </c>
      <c r="G112" s="79" t="s">
        <v>170</v>
      </c>
      <c r="H112" s="60" t="s">
        <v>58</v>
      </c>
      <c r="I112" s="60" t="s">
        <v>269</v>
      </c>
      <c r="J112" s="62">
        <f>E112/(Total!C7*10^6)*100</f>
        <v>3.2446091644204852E-2</v>
      </c>
      <c r="K112" s="18">
        <v>2017</v>
      </c>
      <c r="L112" s="63" t="s">
        <v>493</v>
      </c>
      <c r="M112" s="18"/>
      <c r="N112" s="18"/>
    </row>
    <row r="113" spans="1:15" ht="142.5">
      <c r="A113" s="52">
        <v>105</v>
      </c>
      <c r="B113" s="79" t="s">
        <v>494</v>
      </c>
      <c r="C113" s="79" t="s">
        <v>448</v>
      </c>
      <c r="D113" s="79" t="s">
        <v>203</v>
      </c>
      <c r="E113" s="81">
        <f>14169+9329</f>
        <v>23498</v>
      </c>
      <c r="F113" s="79" t="s">
        <v>495</v>
      </c>
      <c r="G113" s="79" t="s">
        <v>496</v>
      </c>
      <c r="H113" s="76" t="s">
        <v>419</v>
      </c>
      <c r="I113" s="60" t="s">
        <v>497</v>
      </c>
      <c r="J113" s="62">
        <f>E113/(Total!C7*10^6)*100</f>
        <v>3.1668463611859841E-2</v>
      </c>
      <c r="K113" s="18">
        <v>2018</v>
      </c>
      <c r="L113" s="63" t="s">
        <v>92</v>
      </c>
      <c r="M113" s="18"/>
      <c r="N113" s="18"/>
    </row>
    <row r="114" spans="1:15" ht="142.5">
      <c r="A114" s="52">
        <v>106</v>
      </c>
      <c r="B114" s="77" t="s">
        <v>498</v>
      </c>
      <c r="C114" s="77" t="s">
        <v>499</v>
      </c>
      <c r="D114" s="77" t="s">
        <v>77</v>
      </c>
      <c r="E114" s="78">
        <v>22857</v>
      </c>
      <c r="F114" s="77"/>
      <c r="G114" s="77" t="s">
        <v>500</v>
      </c>
      <c r="H114" s="60" t="s">
        <v>165</v>
      </c>
      <c r="I114" s="60" t="s">
        <v>490</v>
      </c>
      <c r="J114" s="62">
        <f>E114/(Total!C7*10^6)*100</f>
        <v>3.0804582210242584E-2</v>
      </c>
      <c r="K114" s="18">
        <v>2018</v>
      </c>
      <c r="L114" s="63" t="s">
        <v>195</v>
      </c>
      <c r="M114" s="18"/>
      <c r="N114" s="18"/>
    </row>
    <row r="115" spans="1:15" ht="142.5">
      <c r="A115" s="52">
        <v>107</v>
      </c>
      <c r="B115" s="77" t="s">
        <v>501</v>
      </c>
      <c r="C115" s="82" t="s">
        <v>502</v>
      </c>
      <c r="D115" s="82" t="s">
        <v>123</v>
      </c>
      <c r="E115" s="78">
        <v>22779</v>
      </c>
      <c r="F115" s="77"/>
      <c r="G115" s="82" t="s">
        <v>501</v>
      </c>
      <c r="H115" s="60" t="s">
        <v>428</v>
      </c>
      <c r="I115" s="60" t="s">
        <v>503</v>
      </c>
      <c r="J115" s="62">
        <f>E115/(Total!C7*10^6)*100</f>
        <v>3.0699460916442052E-2</v>
      </c>
      <c r="K115" s="18">
        <v>2018</v>
      </c>
      <c r="L115" s="63" t="s">
        <v>195</v>
      </c>
      <c r="M115" s="18"/>
      <c r="N115" s="18"/>
    </row>
    <row r="116" spans="1:15" ht="142.5">
      <c r="A116" s="52">
        <v>108</v>
      </c>
      <c r="B116" s="77" t="s">
        <v>504</v>
      </c>
      <c r="C116" s="77" t="s">
        <v>505</v>
      </c>
      <c r="D116" s="77" t="s">
        <v>85</v>
      </c>
      <c r="E116" s="78">
        <v>22455</v>
      </c>
      <c r="F116" s="77"/>
      <c r="G116" s="77" t="s">
        <v>506</v>
      </c>
      <c r="H116" s="60" t="s">
        <v>428</v>
      </c>
      <c r="I116" s="60" t="s">
        <v>503</v>
      </c>
      <c r="J116" s="62">
        <f>E116/(Total!C7*10^6)*100</f>
        <v>3.0262803234501347E-2</v>
      </c>
      <c r="K116" s="18">
        <v>2019</v>
      </c>
      <c r="L116" s="63" t="s">
        <v>195</v>
      </c>
      <c r="M116" s="18"/>
      <c r="N116" s="18"/>
    </row>
    <row r="117" spans="1:15" ht="128.25">
      <c r="A117" s="52">
        <v>109</v>
      </c>
      <c r="B117" s="79" t="s">
        <v>507</v>
      </c>
      <c r="C117" s="79" t="s">
        <v>508</v>
      </c>
      <c r="D117" s="79" t="s">
        <v>123</v>
      </c>
      <c r="E117" s="81">
        <f>897*25</f>
        <v>22425</v>
      </c>
      <c r="F117" s="79" t="s">
        <v>509</v>
      </c>
      <c r="G117" s="79" t="s">
        <v>170</v>
      </c>
      <c r="H117" s="60" t="s">
        <v>58</v>
      </c>
      <c r="I117" s="60" t="s">
        <v>269</v>
      </c>
      <c r="J117" s="62">
        <f>E117/(Total!C7*10^6)*100</f>
        <v>3.0222371967654985E-2</v>
      </c>
      <c r="K117" s="18">
        <v>2017</v>
      </c>
      <c r="L117" s="63" t="s">
        <v>510</v>
      </c>
      <c r="M117" s="18"/>
      <c r="N117" s="18"/>
    </row>
    <row r="118" spans="1:15" ht="128.25">
      <c r="A118" s="52">
        <v>110</v>
      </c>
      <c r="B118" s="79" t="s">
        <v>511</v>
      </c>
      <c r="C118" s="79" t="s">
        <v>512</v>
      </c>
      <c r="D118" s="79" t="s">
        <v>513</v>
      </c>
      <c r="E118" s="81">
        <f>895*25</f>
        <v>22375</v>
      </c>
      <c r="F118" s="79" t="s">
        <v>514</v>
      </c>
      <c r="G118" s="79" t="s">
        <v>357</v>
      </c>
      <c r="H118" s="60" t="s">
        <v>58</v>
      </c>
      <c r="I118" s="60" t="s">
        <v>269</v>
      </c>
      <c r="J118" s="62">
        <f>E118/(Total!C7*10^6)*100</f>
        <v>3.0154986522911049E-2</v>
      </c>
      <c r="K118" s="18">
        <v>2017</v>
      </c>
      <c r="L118" s="63" t="s">
        <v>515</v>
      </c>
      <c r="M118" s="18"/>
      <c r="N118" s="18"/>
    </row>
    <row r="119" spans="1:15" ht="142.5">
      <c r="A119" s="52">
        <v>111</v>
      </c>
      <c r="B119" s="77" t="s">
        <v>516</v>
      </c>
      <c r="C119" s="77" t="s">
        <v>180</v>
      </c>
      <c r="D119" s="77" t="s">
        <v>181</v>
      </c>
      <c r="E119" s="78">
        <v>20879</v>
      </c>
      <c r="F119" s="77"/>
      <c r="G119" s="77" t="s">
        <v>517</v>
      </c>
      <c r="H119" s="60" t="s">
        <v>103</v>
      </c>
      <c r="I119" s="60"/>
      <c r="J119" s="62">
        <f>E119/(Total!C7*10^6)*100</f>
        <v>2.8138814016172509E-2</v>
      </c>
      <c r="K119" s="18">
        <v>2018</v>
      </c>
      <c r="L119" s="63" t="s">
        <v>195</v>
      </c>
      <c r="M119" s="18"/>
      <c r="N119" s="18"/>
    </row>
    <row r="120" spans="1:15" ht="128.25">
      <c r="A120" s="52">
        <v>112</v>
      </c>
      <c r="B120" s="79" t="s">
        <v>518</v>
      </c>
      <c r="C120" s="79" t="s">
        <v>519</v>
      </c>
      <c r="D120" s="79" t="s">
        <v>520</v>
      </c>
      <c r="E120" s="81">
        <f>822*25</f>
        <v>20550</v>
      </c>
      <c r="F120" s="79" t="s">
        <v>521</v>
      </c>
      <c r="G120" s="79" t="s">
        <v>522</v>
      </c>
      <c r="H120" s="60" t="s">
        <v>58</v>
      </c>
      <c r="I120" s="60" t="s">
        <v>269</v>
      </c>
      <c r="J120" s="62">
        <f>E120/(Total!C7*10^6)*100</f>
        <v>2.7695417789757412E-2</v>
      </c>
      <c r="K120" s="18">
        <v>2017</v>
      </c>
      <c r="L120" s="63" t="s">
        <v>523</v>
      </c>
      <c r="M120" s="18"/>
      <c r="N120" s="18"/>
    </row>
    <row r="121" spans="1:15" customFormat="1" ht="95.25" customHeight="1">
      <c r="A121" s="52">
        <v>113</v>
      </c>
      <c r="B121" s="79" t="s">
        <v>524</v>
      </c>
      <c r="C121" s="79" t="s">
        <v>525</v>
      </c>
      <c r="D121" s="79" t="s">
        <v>158</v>
      </c>
      <c r="E121" s="81">
        <f>817*25</f>
        <v>20425</v>
      </c>
      <c r="F121" s="79" t="s">
        <v>526</v>
      </c>
      <c r="G121" s="79" t="s">
        <v>527</v>
      </c>
      <c r="H121" s="60" t="s">
        <v>58</v>
      </c>
      <c r="I121" s="60" t="s">
        <v>269</v>
      </c>
      <c r="J121" s="62">
        <f>E121/(Total!C7*10^6)*100</f>
        <v>2.7526954177897578E-2</v>
      </c>
      <c r="K121" s="18">
        <v>2017</v>
      </c>
      <c r="L121" s="63" t="s">
        <v>528</v>
      </c>
      <c r="M121" s="18"/>
      <c r="N121" s="18"/>
      <c r="O121" s="1"/>
    </row>
    <row r="122" spans="1:15" ht="93" customHeight="1">
      <c r="A122" s="52">
        <v>114</v>
      </c>
      <c r="B122" s="77" t="s">
        <v>529</v>
      </c>
      <c r="C122" s="77" t="s">
        <v>530</v>
      </c>
      <c r="D122" s="77" t="s">
        <v>314</v>
      </c>
      <c r="E122" s="78">
        <f>0.4*298+20070+1.5*25</f>
        <v>20226.7</v>
      </c>
      <c r="F122" s="77" t="s">
        <v>531</v>
      </c>
      <c r="G122" s="77" t="s">
        <v>333</v>
      </c>
      <c r="H122" s="60" t="s">
        <v>219</v>
      </c>
      <c r="I122" s="60"/>
      <c r="J122" s="62">
        <f>E122/(Total!C7*10^6)*100</f>
        <v>2.725970350404313E-2</v>
      </c>
      <c r="K122" s="18">
        <v>2017</v>
      </c>
      <c r="L122" s="18" t="s">
        <v>220</v>
      </c>
      <c r="M122" s="18"/>
      <c r="N122" s="18"/>
    </row>
    <row r="123" spans="1:15" ht="93" customHeight="1">
      <c r="A123" s="52">
        <v>115</v>
      </c>
      <c r="B123" s="77" t="s">
        <v>532</v>
      </c>
      <c r="C123" s="77" t="s">
        <v>341</v>
      </c>
      <c r="D123" s="77" t="s">
        <v>77</v>
      </c>
      <c r="E123" s="78">
        <v>20176</v>
      </c>
      <c r="F123" s="77"/>
      <c r="G123" s="77" t="s">
        <v>532</v>
      </c>
      <c r="H123" s="74" t="s">
        <v>325</v>
      </c>
      <c r="I123" s="60" t="s">
        <v>533</v>
      </c>
      <c r="J123" s="62">
        <f>E123/(Total!C7*10^6)*100</f>
        <v>2.7191374663072778E-2</v>
      </c>
      <c r="K123" s="18">
        <v>2018</v>
      </c>
      <c r="L123" s="63" t="s">
        <v>195</v>
      </c>
      <c r="M123" s="18"/>
      <c r="N123" s="18"/>
    </row>
    <row r="124" spans="1:15" ht="93" customHeight="1">
      <c r="A124" s="52">
        <v>116</v>
      </c>
      <c r="B124" s="77" t="s">
        <v>534</v>
      </c>
      <c r="C124" s="77" t="s">
        <v>535</v>
      </c>
      <c r="D124" s="77" t="s">
        <v>203</v>
      </c>
      <c r="E124" s="78">
        <v>20123</v>
      </c>
      <c r="F124" s="77"/>
      <c r="G124" s="77" t="s">
        <v>536</v>
      </c>
      <c r="H124" s="76" t="s">
        <v>419</v>
      </c>
      <c r="I124" s="60"/>
      <c r="J124" s="62">
        <f>E124/(Total!C7*10^6)*100</f>
        <v>2.7119946091644209E-2</v>
      </c>
      <c r="K124" s="18">
        <v>2018</v>
      </c>
      <c r="L124" s="63" t="s">
        <v>195</v>
      </c>
      <c r="M124" s="18"/>
      <c r="N124" s="18"/>
    </row>
    <row r="125" spans="1:15" ht="93" customHeight="1">
      <c r="A125" s="52">
        <v>117</v>
      </c>
      <c r="B125" s="77" t="s">
        <v>537</v>
      </c>
      <c r="C125" s="77"/>
      <c r="D125" s="77" t="s">
        <v>181</v>
      </c>
      <c r="E125" s="78">
        <f>788*25</f>
        <v>19700</v>
      </c>
      <c r="F125" s="77" t="s">
        <v>538</v>
      </c>
      <c r="G125" s="77" t="s">
        <v>522</v>
      </c>
      <c r="H125" s="60" t="s">
        <v>58</v>
      </c>
      <c r="I125" s="60" t="s">
        <v>269</v>
      </c>
      <c r="J125" s="62">
        <f>E125/(Total!C7*10^6)*100</f>
        <v>2.6549865229110511E-2</v>
      </c>
      <c r="K125" s="18">
        <v>2017</v>
      </c>
      <c r="L125" s="63" t="s">
        <v>539</v>
      </c>
      <c r="M125" s="18"/>
      <c r="N125" s="18"/>
    </row>
    <row r="126" spans="1:15" ht="93" customHeight="1">
      <c r="A126" s="52">
        <v>118</v>
      </c>
      <c r="B126" s="77" t="s">
        <v>540</v>
      </c>
      <c r="C126" s="77" t="s">
        <v>456</v>
      </c>
      <c r="D126" s="77" t="s">
        <v>129</v>
      </c>
      <c r="E126" s="78">
        <v>19374</v>
      </c>
      <c r="F126" s="77"/>
      <c r="G126" s="77" t="s">
        <v>457</v>
      </c>
      <c r="H126" s="76" t="s">
        <v>419</v>
      </c>
      <c r="I126" s="60"/>
      <c r="J126" s="62">
        <f>E126/(Total!C7*10^6)*100</f>
        <v>2.6110512129380054E-2</v>
      </c>
      <c r="K126" s="18">
        <v>2018</v>
      </c>
      <c r="L126" s="63" t="s">
        <v>146</v>
      </c>
      <c r="M126" s="18"/>
      <c r="N126" s="18"/>
    </row>
    <row r="127" spans="1:15" ht="93" customHeight="1">
      <c r="A127" s="52">
        <v>119</v>
      </c>
      <c r="B127" s="77" t="s">
        <v>541</v>
      </c>
      <c r="C127" s="77" t="s">
        <v>122</v>
      </c>
      <c r="D127" s="77" t="s">
        <v>123</v>
      </c>
      <c r="E127" s="78">
        <v>18870</v>
      </c>
      <c r="F127" s="77"/>
      <c r="G127" s="77" t="s">
        <v>542</v>
      </c>
      <c r="H127" s="60" t="s">
        <v>428</v>
      </c>
      <c r="I127" s="60" t="s">
        <v>543</v>
      </c>
      <c r="J127" s="62">
        <f>E127/(Total!C7*10^6)*100</f>
        <v>2.5431266846361187E-2</v>
      </c>
      <c r="K127" s="18">
        <v>2018</v>
      </c>
      <c r="L127" s="63" t="s">
        <v>195</v>
      </c>
      <c r="M127" s="18"/>
      <c r="N127" s="18"/>
    </row>
    <row r="128" spans="1:15" ht="93" customHeight="1">
      <c r="A128" s="52">
        <v>120</v>
      </c>
      <c r="B128" s="77" t="s">
        <v>544</v>
      </c>
      <c r="C128" s="77" t="s">
        <v>545</v>
      </c>
      <c r="D128" s="77" t="s">
        <v>203</v>
      </c>
      <c r="E128" s="78">
        <v>18821</v>
      </c>
      <c r="F128" s="77"/>
      <c r="G128" s="77" t="s">
        <v>544</v>
      </c>
      <c r="H128" s="76" t="s">
        <v>419</v>
      </c>
      <c r="I128" s="60"/>
      <c r="J128" s="62">
        <f>E128/(Total!C7*10^6)*100</f>
        <v>2.5365229110512127E-2</v>
      </c>
      <c r="K128" s="18">
        <v>2018</v>
      </c>
      <c r="L128" s="63" t="s">
        <v>195</v>
      </c>
      <c r="M128" s="18"/>
      <c r="N128" s="18"/>
    </row>
    <row r="129" spans="1:15" ht="93" customHeight="1">
      <c r="A129" s="52">
        <v>121</v>
      </c>
      <c r="B129" s="77" t="s">
        <v>546</v>
      </c>
      <c r="C129" s="77" t="s">
        <v>547</v>
      </c>
      <c r="D129" s="77" t="s">
        <v>77</v>
      </c>
      <c r="E129" s="78">
        <v>18076</v>
      </c>
      <c r="F129" s="77"/>
      <c r="G129" s="77" t="s">
        <v>548</v>
      </c>
      <c r="H129" s="60" t="s">
        <v>549</v>
      </c>
      <c r="I129" s="60" t="s">
        <v>503</v>
      </c>
      <c r="J129" s="62">
        <f>E129/(Total!C7*10^6)*100</f>
        <v>2.4361185983827492E-2</v>
      </c>
      <c r="K129" s="18">
        <v>2018</v>
      </c>
      <c r="L129" s="63" t="s">
        <v>195</v>
      </c>
      <c r="M129" s="18"/>
      <c r="N129" s="18"/>
    </row>
    <row r="130" spans="1:15" ht="93" customHeight="1">
      <c r="A130" s="52">
        <v>122</v>
      </c>
      <c r="B130" s="77" t="s">
        <v>550</v>
      </c>
      <c r="C130" s="83" t="s">
        <v>380</v>
      </c>
      <c r="D130" s="83" t="s">
        <v>77</v>
      </c>
      <c r="E130" s="78">
        <v>18071</v>
      </c>
      <c r="F130" s="77"/>
      <c r="G130" s="82" t="s">
        <v>550</v>
      </c>
      <c r="H130" s="60" t="s">
        <v>428</v>
      </c>
      <c r="I130" s="60" t="s">
        <v>503</v>
      </c>
      <c r="J130" s="62">
        <f>E130/(Total!C7*10^6)*100</f>
        <v>2.43544474393531E-2</v>
      </c>
      <c r="K130" s="18">
        <v>2018</v>
      </c>
      <c r="L130" s="63" t="s">
        <v>195</v>
      </c>
      <c r="M130" s="18"/>
      <c r="N130" s="18"/>
    </row>
    <row r="131" spans="1:15" ht="93" customHeight="1">
      <c r="A131" s="52">
        <v>123</v>
      </c>
      <c r="B131" s="79" t="s">
        <v>551</v>
      </c>
      <c r="D131" s="79" t="s">
        <v>77</v>
      </c>
      <c r="E131" s="81">
        <f>0.5*298+17569+2*25</f>
        <v>17768</v>
      </c>
      <c r="F131" s="79" t="s">
        <v>552</v>
      </c>
      <c r="G131" s="79" t="s">
        <v>333</v>
      </c>
      <c r="H131" s="60" t="s">
        <v>334</v>
      </c>
      <c r="I131" s="60"/>
      <c r="J131" s="62">
        <f>E131/(Total!C7*10^6)*100</f>
        <v>2.3946091644204852E-2</v>
      </c>
      <c r="K131" s="18">
        <v>2017</v>
      </c>
      <c r="L131" s="18" t="s">
        <v>220</v>
      </c>
      <c r="M131" s="18"/>
      <c r="N131" s="18"/>
    </row>
    <row r="132" spans="1:15" ht="93" customHeight="1">
      <c r="A132" s="52">
        <v>124</v>
      </c>
      <c r="B132" s="79" t="s">
        <v>553</v>
      </c>
      <c r="C132" s="79" t="s">
        <v>554</v>
      </c>
      <c r="D132" s="79" t="s">
        <v>95</v>
      </c>
      <c r="E132" s="81">
        <v>17598</v>
      </c>
      <c r="F132" s="79"/>
      <c r="G132" s="79" t="s">
        <v>555</v>
      </c>
      <c r="H132" s="60" t="s">
        <v>125</v>
      </c>
      <c r="I132" s="60" t="s">
        <v>556</v>
      </c>
      <c r="J132" s="62">
        <f>E132/(Total!C7*10^6)*100</f>
        <v>2.371698113207547E-2</v>
      </c>
      <c r="K132" s="18">
        <v>2018</v>
      </c>
      <c r="L132" s="70" t="s">
        <v>195</v>
      </c>
      <c r="M132" s="18"/>
      <c r="N132" s="18"/>
    </row>
    <row r="133" spans="1:15" ht="93" customHeight="1">
      <c r="A133" s="52">
        <v>125</v>
      </c>
      <c r="B133" s="79" t="s">
        <v>557</v>
      </c>
      <c r="C133" s="79" t="s">
        <v>558</v>
      </c>
      <c r="D133" s="79" t="s">
        <v>513</v>
      </c>
      <c r="E133" s="81">
        <f>(337+345)*25</f>
        <v>17050</v>
      </c>
      <c r="F133" s="79" t="s">
        <v>559</v>
      </c>
      <c r="G133" s="79" t="s">
        <v>560</v>
      </c>
      <c r="H133" s="60" t="s">
        <v>58</v>
      </c>
      <c r="I133" s="60" t="s">
        <v>561</v>
      </c>
      <c r="J133" s="62">
        <f>E133/(Total!C7*10^6)*100</f>
        <v>2.2978436657681942E-2</v>
      </c>
      <c r="K133" s="18">
        <v>2017</v>
      </c>
      <c r="L133" s="63" t="s">
        <v>562</v>
      </c>
      <c r="M133" s="18"/>
      <c r="N133" s="18"/>
    </row>
    <row r="134" spans="1:15" customFormat="1" ht="270.75">
      <c r="A134" s="52">
        <v>126</v>
      </c>
      <c r="B134" s="77" t="s">
        <v>563</v>
      </c>
      <c r="C134" s="77" t="s">
        <v>148</v>
      </c>
      <c r="D134" s="77" t="s">
        <v>108</v>
      </c>
      <c r="E134" s="78">
        <v>16543</v>
      </c>
      <c r="F134" s="77"/>
      <c r="G134" s="77" t="s">
        <v>564</v>
      </c>
      <c r="H134" s="60" t="s">
        <v>125</v>
      </c>
      <c r="I134" s="60" t="s">
        <v>565</v>
      </c>
      <c r="J134" s="62">
        <f>E134/(Total!C7*10^6)*100</f>
        <v>2.2295148247978437E-2</v>
      </c>
      <c r="K134" s="18">
        <v>2018</v>
      </c>
      <c r="L134" s="63" t="s">
        <v>146</v>
      </c>
      <c r="M134" s="18"/>
      <c r="N134" s="18"/>
      <c r="O134" s="1"/>
    </row>
    <row r="135" spans="1:15" customFormat="1" ht="142.5">
      <c r="A135" s="52">
        <v>127</v>
      </c>
      <c r="B135" s="77" t="s">
        <v>566</v>
      </c>
      <c r="C135" s="77" t="s">
        <v>284</v>
      </c>
      <c r="D135" s="77" t="s">
        <v>240</v>
      </c>
      <c r="E135" s="78">
        <f>0.4*298+84+16316</f>
        <v>16519.2</v>
      </c>
      <c r="F135" s="79" t="s">
        <v>567</v>
      </c>
      <c r="G135" s="77" t="s">
        <v>333</v>
      </c>
      <c r="H135" s="60" t="s">
        <v>334</v>
      </c>
      <c r="I135" s="60"/>
      <c r="J135" s="62">
        <f>E135/(Total!C7*10^6)*100</f>
        <v>2.2263072776280327E-2</v>
      </c>
      <c r="K135" s="18">
        <v>2017</v>
      </c>
      <c r="L135" s="18" t="s">
        <v>220</v>
      </c>
      <c r="M135" s="18"/>
      <c r="N135" s="18"/>
      <c r="O135" s="1"/>
    </row>
    <row r="136" spans="1:15" customFormat="1" ht="128.25">
      <c r="A136" s="52">
        <v>128</v>
      </c>
      <c r="B136" s="79" t="s">
        <v>568</v>
      </c>
      <c r="C136" s="1"/>
      <c r="D136" s="79" t="s">
        <v>411</v>
      </c>
      <c r="E136" s="81">
        <f>660*25</f>
        <v>16500</v>
      </c>
      <c r="F136" s="79" t="s">
        <v>569</v>
      </c>
      <c r="G136" s="79" t="s">
        <v>570</v>
      </c>
      <c r="H136" s="60" t="s">
        <v>58</v>
      </c>
      <c r="I136" s="60" t="s">
        <v>269</v>
      </c>
      <c r="J136" s="62">
        <f>E136/(Total!C7*10^6)*100</f>
        <v>2.2237196765498651E-2</v>
      </c>
      <c r="K136" s="18">
        <v>2017</v>
      </c>
      <c r="L136" s="63" t="s">
        <v>571</v>
      </c>
      <c r="M136" s="18"/>
      <c r="N136" s="18"/>
      <c r="O136" s="1"/>
    </row>
    <row r="137" spans="1:15" customFormat="1" ht="142.5">
      <c r="A137" s="52">
        <v>129</v>
      </c>
      <c r="B137" s="77" t="s">
        <v>572</v>
      </c>
      <c r="C137" s="77" t="s">
        <v>573</v>
      </c>
      <c r="D137" s="77" t="s">
        <v>129</v>
      </c>
      <c r="E137" s="78">
        <v>16499</v>
      </c>
      <c r="F137" s="77"/>
      <c r="G137" s="77" t="s">
        <v>574</v>
      </c>
      <c r="H137" s="76" t="s">
        <v>419</v>
      </c>
      <c r="I137" s="60"/>
      <c r="J137" s="62">
        <f>E137/(Total!C7*10^6)*100</f>
        <v>2.2235849056603776E-2</v>
      </c>
      <c r="K137" s="18">
        <v>2018</v>
      </c>
      <c r="L137" s="63" t="s">
        <v>195</v>
      </c>
      <c r="M137" s="18"/>
      <c r="N137" s="18"/>
      <c r="O137" s="1"/>
    </row>
    <row r="138" spans="1:15" customFormat="1" ht="142.5">
      <c r="A138" s="52">
        <v>130</v>
      </c>
      <c r="B138" s="79" t="s">
        <v>575</v>
      </c>
      <c r="C138" s="79" t="s">
        <v>576</v>
      </c>
      <c r="D138" s="79" t="s">
        <v>95</v>
      </c>
      <c r="E138" s="81">
        <v>16228</v>
      </c>
      <c r="F138" s="79"/>
      <c r="G138" s="79" t="s">
        <v>577</v>
      </c>
      <c r="H138" s="60" t="s">
        <v>80</v>
      </c>
      <c r="I138" s="60"/>
      <c r="J138" s="62">
        <f>E138/(Total!C7*10^6)*100</f>
        <v>2.1870619946091643E-2</v>
      </c>
      <c r="K138" s="18">
        <v>2018</v>
      </c>
      <c r="L138" s="63" t="s">
        <v>195</v>
      </c>
      <c r="M138" s="18"/>
      <c r="N138" s="18"/>
      <c r="O138" s="1"/>
    </row>
    <row r="139" spans="1:15" customFormat="1" ht="270.75">
      <c r="A139" s="52">
        <v>131</v>
      </c>
      <c r="B139" s="77" t="s">
        <v>578</v>
      </c>
      <c r="C139" s="77" t="s">
        <v>475</v>
      </c>
      <c r="D139" s="77" t="s">
        <v>129</v>
      </c>
      <c r="E139" s="78">
        <v>16200</v>
      </c>
      <c r="F139" s="77"/>
      <c r="G139" s="77" t="s">
        <v>579</v>
      </c>
      <c r="H139" s="76" t="s">
        <v>419</v>
      </c>
      <c r="I139" s="60"/>
      <c r="J139" s="62">
        <f>E139/(Total!C7*10^6)*100</f>
        <v>2.183288409703504E-2</v>
      </c>
      <c r="K139" s="18">
        <v>2018</v>
      </c>
      <c r="L139" s="63" t="s">
        <v>146</v>
      </c>
      <c r="M139" s="18"/>
      <c r="N139" s="18"/>
      <c r="O139" s="1"/>
    </row>
    <row r="140" spans="1:15" customFormat="1" ht="69" customHeight="1">
      <c r="A140" s="52">
        <v>132</v>
      </c>
      <c r="B140" s="77" t="s">
        <v>580</v>
      </c>
      <c r="C140" s="77" t="s">
        <v>581</v>
      </c>
      <c r="D140" s="77" t="s">
        <v>513</v>
      </c>
      <c r="E140" s="78">
        <v>16174</v>
      </c>
      <c r="F140" s="77"/>
      <c r="G140" s="77" t="s">
        <v>582</v>
      </c>
      <c r="H140" s="60" t="s">
        <v>583</v>
      </c>
      <c r="I140" s="60" t="s">
        <v>503</v>
      </c>
      <c r="J140" s="62">
        <f>E140/(Total!C7*10^6)*100</f>
        <v>2.1797843665768191E-2</v>
      </c>
      <c r="K140" s="18">
        <v>2018</v>
      </c>
      <c r="L140" s="63" t="s">
        <v>195</v>
      </c>
      <c r="M140" s="18"/>
      <c r="N140" s="18"/>
      <c r="O140" s="1"/>
    </row>
    <row r="141" spans="1:15" ht="142.5">
      <c r="A141" s="52">
        <v>133</v>
      </c>
      <c r="B141" s="77" t="s">
        <v>584</v>
      </c>
      <c r="C141" s="77" t="s">
        <v>585</v>
      </c>
      <c r="D141" s="77" t="s">
        <v>129</v>
      </c>
      <c r="E141" s="78">
        <v>16072</v>
      </c>
      <c r="F141" s="77"/>
      <c r="G141" s="77" t="s">
        <v>586</v>
      </c>
      <c r="H141" s="76" t="s">
        <v>419</v>
      </c>
      <c r="I141" s="60"/>
      <c r="J141" s="62">
        <f>E141/(Total!C7*10^6)*100</f>
        <v>2.1660377358490565E-2</v>
      </c>
      <c r="K141" s="18">
        <v>2018</v>
      </c>
      <c r="L141" s="63" t="s">
        <v>195</v>
      </c>
      <c r="M141" s="18"/>
      <c r="N141" s="18"/>
    </row>
    <row r="142" spans="1:15" ht="142.5">
      <c r="A142" s="52">
        <v>134</v>
      </c>
      <c r="B142" s="77" t="s">
        <v>587</v>
      </c>
      <c r="C142" s="77" t="s">
        <v>588</v>
      </c>
      <c r="D142" s="77" t="s">
        <v>123</v>
      </c>
      <c r="E142" s="78">
        <v>15704</v>
      </c>
      <c r="F142" s="77"/>
      <c r="G142" s="77" t="s">
        <v>589</v>
      </c>
      <c r="H142" s="60" t="s">
        <v>428</v>
      </c>
      <c r="I142" s="60" t="s">
        <v>503</v>
      </c>
      <c r="J142" s="62">
        <f>E142/(Total!C7*10^6)*100</f>
        <v>2.1164420485175202E-2</v>
      </c>
      <c r="K142" s="18">
        <v>2018</v>
      </c>
      <c r="L142" s="70" t="s">
        <v>195</v>
      </c>
      <c r="M142" s="18"/>
      <c r="N142" s="18"/>
    </row>
    <row r="143" spans="1:15" ht="142.5">
      <c r="A143" s="52">
        <v>135</v>
      </c>
      <c r="B143" s="79" t="s">
        <v>590</v>
      </c>
      <c r="C143" s="79" t="s">
        <v>591</v>
      </c>
      <c r="D143" s="79" t="s">
        <v>123</v>
      </c>
      <c r="E143" s="81">
        <v>15368</v>
      </c>
      <c r="F143" s="79"/>
      <c r="G143" s="79" t="s">
        <v>592</v>
      </c>
      <c r="H143" s="76" t="s">
        <v>419</v>
      </c>
      <c r="I143" s="60"/>
      <c r="J143" s="62">
        <f>E143/(Total!C7*10^6)*100</f>
        <v>2.0711590296495958E-2</v>
      </c>
      <c r="K143" s="18">
        <v>2018</v>
      </c>
      <c r="L143" s="63" t="s">
        <v>195</v>
      </c>
      <c r="M143" s="18"/>
      <c r="N143" s="18"/>
    </row>
    <row r="144" spans="1:15" ht="142.5">
      <c r="A144" s="52">
        <v>136</v>
      </c>
      <c r="B144" s="77" t="s">
        <v>593</v>
      </c>
      <c r="C144" s="77" t="s">
        <v>594</v>
      </c>
      <c r="D144" s="77" t="s">
        <v>314</v>
      </c>
      <c r="E144" s="78">
        <v>15234</v>
      </c>
      <c r="F144" s="79"/>
      <c r="G144" s="77" t="s">
        <v>595</v>
      </c>
      <c r="H144" s="60" t="s">
        <v>428</v>
      </c>
      <c r="I144" s="60" t="s">
        <v>503</v>
      </c>
      <c r="J144" s="62">
        <f>E144/(Total!C7*10^6)*100</f>
        <v>2.0530997304582209E-2</v>
      </c>
      <c r="K144" s="18">
        <v>2018</v>
      </c>
      <c r="L144" s="70" t="s">
        <v>195</v>
      </c>
      <c r="M144" s="18"/>
      <c r="N144" s="18"/>
    </row>
    <row r="145" spans="1:14" ht="128.25">
      <c r="A145" s="52">
        <v>137</v>
      </c>
      <c r="B145" s="79" t="s">
        <v>596</v>
      </c>
      <c r="C145" s="79" t="s">
        <v>597</v>
      </c>
      <c r="D145" s="79" t="s">
        <v>116</v>
      </c>
      <c r="E145" s="81">
        <f>604*25</f>
        <v>15100</v>
      </c>
      <c r="F145" s="79" t="s">
        <v>598</v>
      </c>
      <c r="G145" s="79" t="s">
        <v>357</v>
      </c>
      <c r="H145" s="60" t="s">
        <v>58</v>
      </c>
      <c r="I145" s="60" t="s">
        <v>269</v>
      </c>
      <c r="J145" s="62">
        <f>E145/(Total!C7*10^6)*100</f>
        <v>2.0350404312668463E-2</v>
      </c>
      <c r="K145" s="18">
        <v>2017</v>
      </c>
      <c r="L145" s="63" t="s">
        <v>599</v>
      </c>
      <c r="M145" s="18"/>
      <c r="N145" s="18"/>
    </row>
    <row r="146" spans="1:14" ht="142.5">
      <c r="A146" s="52">
        <v>138</v>
      </c>
      <c r="B146" s="77" t="s">
        <v>600</v>
      </c>
      <c r="C146" s="77" t="s">
        <v>601</v>
      </c>
      <c r="D146" s="77" t="s">
        <v>129</v>
      </c>
      <c r="E146" s="78">
        <v>14755</v>
      </c>
      <c r="F146" s="77"/>
      <c r="G146" s="77" t="s">
        <v>602</v>
      </c>
      <c r="H146" s="76" t="s">
        <v>419</v>
      </c>
      <c r="I146" s="60"/>
      <c r="J146" s="62">
        <f>E146/(Total!C7*10^6)*100</f>
        <v>1.9885444743935311E-2</v>
      </c>
      <c r="K146" s="18">
        <v>2018</v>
      </c>
      <c r="L146" s="63" t="s">
        <v>195</v>
      </c>
      <c r="M146" s="18"/>
      <c r="N146" s="18"/>
    </row>
    <row r="147" spans="1:14" ht="142.5">
      <c r="A147" s="52">
        <v>139</v>
      </c>
      <c r="B147" s="79" t="s">
        <v>603</v>
      </c>
      <c r="C147" s="79" t="s">
        <v>554</v>
      </c>
      <c r="D147" s="79" t="s">
        <v>95</v>
      </c>
      <c r="E147" s="81">
        <v>14665</v>
      </c>
      <c r="F147" s="79"/>
      <c r="G147" s="79" t="s">
        <v>555</v>
      </c>
      <c r="H147" s="60" t="s">
        <v>125</v>
      </c>
      <c r="I147" s="60" t="s">
        <v>556</v>
      </c>
      <c r="J147" s="62">
        <f>E147/(Total!C7*10^6)*100</f>
        <v>1.9764150943396227E-2</v>
      </c>
      <c r="K147" s="18">
        <v>2018</v>
      </c>
      <c r="L147" s="70" t="s">
        <v>195</v>
      </c>
      <c r="M147" s="18"/>
      <c r="N147" s="18"/>
    </row>
    <row r="148" spans="1:14" ht="142.5">
      <c r="A148" s="52">
        <v>140</v>
      </c>
      <c r="B148" s="79" t="s">
        <v>604</v>
      </c>
      <c r="C148" s="79" t="s">
        <v>239</v>
      </c>
      <c r="D148" s="79" t="s">
        <v>240</v>
      </c>
      <c r="E148" s="81">
        <f>0.4*298+14340+1*25</f>
        <v>14484.2</v>
      </c>
      <c r="F148" s="79" t="s">
        <v>605</v>
      </c>
      <c r="G148" s="79" t="s">
        <v>333</v>
      </c>
      <c r="H148" s="60" t="s">
        <v>334</v>
      </c>
      <c r="I148" s="60"/>
      <c r="J148" s="62">
        <f>E148/(Total!C7*10^6)*100</f>
        <v>1.9520485175202155E-2</v>
      </c>
      <c r="K148" s="18">
        <v>2017</v>
      </c>
      <c r="L148" s="18" t="s">
        <v>220</v>
      </c>
      <c r="M148" s="18"/>
      <c r="N148" s="18"/>
    </row>
    <row r="149" spans="1:14" ht="142.5">
      <c r="A149" s="52">
        <v>141</v>
      </c>
      <c r="B149" s="77" t="s">
        <v>606</v>
      </c>
      <c r="C149" s="77" t="s">
        <v>607</v>
      </c>
      <c r="D149" s="77" t="s">
        <v>123</v>
      </c>
      <c r="E149" s="78">
        <v>14177</v>
      </c>
      <c r="F149" s="77"/>
      <c r="G149" s="77" t="s">
        <v>608</v>
      </c>
      <c r="H149" s="60" t="s">
        <v>428</v>
      </c>
      <c r="I149" s="60" t="s">
        <v>503</v>
      </c>
      <c r="J149" s="62">
        <f>E149/(Total!C7*10^6)*100</f>
        <v>1.9106469002695418E-2</v>
      </c>
      <c r="K149" s="18">
        <v>2018</v>
      </c>
      <c r="L149" s="70" t="s">
        <v>195</v>
      </c>
      <c r="M149" s="18"/>
      <c r="N149" s="18"/>
    </row>
    <row r="150" spans="1:14" ht="142.5">
      <c r="A150" s="52">
        <v>142</v>
      </c>
      <c r="B150" s="77" t="s">
        <v>609</v>
      </c>
      <c r="C150" s="77" t="s">
        <v>610</v>
      </c>
      <c r="D150" s="77" t="s">
        <v>129</v>
      </c>
      <c r="E150" s="78">
        <v>13521</v>
      </c>
      <c r="F150" s="79"/>
      <c r="G150" s="77" t="s">
        <v>609</v>
      </c>
      <c r="H150" s="76" t="s">
        <v>419</v>
      </c>
      <c r="I150" s="60"/>
      <c r="J150" s="62">
        <f>E150/(Total!C7*10^6)*100</f>
        <v>1.8222371967654988E-2</v>
      </c>
      <c r="K150" s="18">
        <v>2018</v>
      </c>
      <c r="L150" s="63" t="s">
        <v>195</v>
      </c>
      <c r="M150" s="18"/>
      <c r="N150" s="18"/>
    </row>
    <row r="151" spans="1:14" ht="142.5">
      <c r="A151" s="52">
        <v>143</v>
      </c>
      <c r="B151" s="77" t="s">
        <v>611</v>
      </c>
      <c r="C151" s="77" t="s">
        <v>456</v>
      </c>
      <c r="D151" s="77" t="s">
        <v>129</v>
      </c>
      <c r="E151" s="78">
        <v>13359</v>
      </c>
      <c r="F151" s="79"/>
      <c r="G151" s="77" t="s">
        <v>612</v>
      </c>
      <c r="H151" s="76" t="s">
        <v>419</v>
      </c>
      <c r="I151" s="60"/>
      <c r="J151" s="62">
        <f>E151/(Total!C7*10^6)*100</f>
        <v>1.8004043126684636E-2</v>
      </c>
      <c r="K151" s="18">
        <v>2018</v>
      </c>
      <c r="L151" s="63" t="s">
        <v>92</v>
      </c>
      <c r="M151" s="18"/>
      <c r="N151" s="18"/>
    </row>
    <row r="152" spans="1:14" ht="142.5">
      <c r="A152" s="52">
        <v>144</v>
      </c>
      <c r="B152" s="79" t="s">
        <v>613</v>
      </c>
      <c r="C152" s="79" t="s">
        <v>451</v>
      </c>
      <c r="D152" s="79" t="s">
        <v>203</v>
      </c>
      <c r="E152" s="81">
        <v>12436</v>
      </c>
      <c r="F152" s="79"/>
      <c r="G152" s="79" t="s">
        <v>613</v>
      </c>
      <c r="H152" s="76" t="s">
        <v>419</v>
      </c>
      <c r="I152" s="60"/>
      <c r="J152" s="62">
        <f>E152/(Total!C7*10^6)*100</f>
        <v>1.6760107816711591E-2</v>
      </c>
      <c r="K152" s="18">
        <v>2018</v>
      </c>
      <c r="L152" s="63" t="s">
        <v>195</v>
      </c>
      <c r="M152" s="18"/>
      <c r="N152" s="18"/>
    </row>
    <row r="153" spans="1:14" ht="142.5">
      <c r="A153" s="52">
        <v>145</v>
      </c>
      <c r="B153" s="77" t="s">
        <v>614</v>
      </c>
      <c r="C153" s="77" t="s">
        <v>615</v>
      </c>
      <c r="D153" s="77" t="s">
        <v>108</v>
      </c>
      <c r="E153" s="78">
        <v>12425</v>
      </c>
      <c r="F153" s="77"/>
      <c r="G153" s="77" t="s">
        <v>616</v>
      </c>
      <c r="H153" s="76" t="s">
        <v>419</v>
      </c>
      <c r="I153" s="60"/>
      <c r="J153" s="62">
        <f>E153/(Total!C7*10^6)*100</f>
        <v>1.6745283018867924E-2</v>
      </c>
      <c r="K153" s="18">
        <v>2018</v>
      </c>
      <c r="L153" s="63" t="s">
        <v>195</v>
      </c>
      <c r="M153" s="18"/>
      <c r="N153" s="18"/>
    </row>
    <row r="154" spans="1:14" ht="142.5">
      <c r="A154" s="52">
        <v>146</v>
      </c>
      <c r="B154" s="84" t="s">
        <v>617</v>
      </c>
      <c r="C154" s="84" t="s">
        <v>618</v>
      </c>
      <c r="D154" s="84" t="s">
        <v>129</v>
      </c>
      <c r="E154" s="85">
        <v>12341</v>
      </c>
      <c r="F154" s="84"/>
      <c r="G154" s="84" t="s">
        <v>619</v>
      </c>
      <c r="H154" s="76" t="s">
        <v>419</v>
      </c>
      <c r="I154" s="86"/>
      <c r="J154" s="62">
        <f>E154/(Total!C7*10^6)*100</f>
        <v>1.6632075471698111E-2</v>
      </c>
      <c r="K154" s="18">
        <v>2018</v>
      </c>
      <c r="L154" s="63" t="s">
        <v>195</v>
      </c>
      <c r="M154" s="18"/>
      <c r="N154" s="18"/>
    </row>
    <row r="155" spans="1:14" ht="142.5">
      <c r="A155" s="52">
        <v>147</v>
      </c>
      <c r="B155" s="77" t="s">
        <v>620</v>
      </c>
      <c r="C155" s="77" t="s">
        <v>202</v>
      </c>
      <c r="D155" s="77" t="s">
        <v>203</v>
      </c>
      <c r="E155" s="78">
        <v>12146</v>
      </c>
      <c r="F155" s="77"/>
      <c r="G155" s="77" t="s">
        <v>620</v>
      </c>
      <c r="H155" s="60" t="s">
        <v>125</v>
      </c>
      <c r="I155" s="60" t="s">
        <v>343</v>
      </c>
      <c r="J155" s="62">
        <f>E155/(Total!C7*10^6)*100</f>
        <v>1.6369272237196766E-2</v>
      </c>
      <c r="K155" s="18">
        <v>2018</v>
      </c>
      <c r="L155" s="63" t="s">
        <v>195</v>
      </c>
      <c r="M155" s="18"/>
      <c r="N155" s="18"/>
    </row>
    <row r="156" spans="1:14" ht="142.5">
      <c r="A156" s="52">
        <v>148</v>
      </c>
      <c r="B156" s="79" t="s">
        <v>621</v>
      </c>
      <c r="C156" s="79" t="s">
        <v>622</v>
      </c>
      <c r="D156" s="79" t="s">
        <v>129</v>
      </c>
      <c r="E156" s="81">
        <v>12144</v>
      </c>
      <c r="F156" s="79"/>
      <c r="G156" s="79" t="s">
        <v>619</v>
      </c>
      <c r="H156" s="76" t="s">
        <v>419</v>
      </c>
      <c r="I156" s="60"/>
      <c r="J156" s="62">
        <f>E156/(Total!C7*10^6)*100</f>
        <v>1.6366576819407008E-2</v>
      </c>
      <c r="K156" s="18">
        <v>2018</v>
      </c>
      <c r="L156" s="63" t="s">
        <v>195</v>
      </c>
      <c r="M156" s="18"/>
      <c r="N156" s="18"/>
    </row>
    <row r="157" spans="1:14" ht="142.5">
      <c r="A157" s="52">
        <v>149</v>
      </c>
      <c r="B157" s="79" t="s">
        <v>623</v>
      </c>
      <c r="C157" s="79" t="s">
        <v>591</v>
      </c>
      <c r="D157" s="79" t="s">
        <v>123</v>
      </c>
      <c r="E157" s="81">
        <f>18+10147+1959</f>
        <v>12124</v>
      </c>
      <c r="F157" s="79"/>
      <c r="G157" s="79" t="s">
        <v>624</v>
      </c>
      <c r="H157" s="76" t="s">
        <v>419</v>
      </c>
      <c r="I157" s="60" t="s">
        <v>625</v>
      </c>
      <c r="J157" s="62">
        <f>E157/(Total!C7*10^6)*100</f>
        <v>1.6339622641509434E-2</v>
      </c>
      <c r="K157" s="18">
        <v>2018</v>
      </c>
      <c r="L157" s="63" t="s">
        <v>195</v>
      </c>
      <c r="M157" s="18"/>
      <c r="N157" s="18"/>
    </row>
    <row r="158" spans="1:14" ht="128.25">
      <c r="A158" s="52">
        <v>150</v>
      </c>
      <c r="B158" s="79" t="s">
        <v>626</v>
      </c>
      <c r="C158" s="79" t="s">
        <v>627</v>
      </c>
      <c r="D158" s="79" t="s">
        <v>95</v>
      </c>
      <c r="E158" s="81">
        <f>475*25</f>
        <v>11875</v>
      </c>
      <c r="F158" s="79" t="s">
        <v>628</v>
      </c>
      <c r="G158" s="79" t="s">
        <v>629</v>
      </c>
      <c r="H158" s="60" t="s">
        <v>58</v>
      </c>
      <c r="I158" s="60" t="s">
        <v>269</v>
      </c>
      <c r="J158" s="62">
        <f>E158/(Total!C7*10^6)*100</f>
        <v>1.6004043126684638E-2</v>
      </c>
      <c r="K158" s="18">
        <v>2017</v>
      </c>
      <c r="L158" s="63" t="s">
        <v>630</v>
      </c>
      <c r="M158" s="18"/>
      <c r="N158" s="18"/>
    </row>
    <row r="159" spans="1:14" ht="45.75" customHeight="1">
      <c r="A159" s="52">
        <v>151</v>
      </c>
      <c r="B159" s="77" t="s">
        <v>631</v>
      </c>
      <c r="C159" s="77" t="s">
        <v>632</v>
      </c>
      <c r="D159" s="77" t="s">
        <v>95</v>
      </c>
      <c r="E159" s="78">
        <v>11744</v>
      </c>
      <c r="F159" s="77"/>
      <c r="G159" s="77" t="s">
        <v>633</v>
      </c>
      <c r="H159" s="60" t="s">
        <v>428</v>
      </c>
      <c r="I159" s="60" t="s">
        <v>503</v>
      </c>
      <c r="J159" s="62">
        <f>E159/(Total!C7*10^6)*100</f>
        <v>1.5827493261455525E-2</v>
      </c>
      <c r="K159" s="18">
        <v>2018</v>
      </c>
      <c r="L159" s="70" t="s">
        <v>195</v>
      </c>
      <c r="M159" s="18"/>
      <c r="N159" s="18"/>
    </row>
    <row r="160" spans="1:14" ht="142.5">
      <c r="A160" s="52">
        <v>152</v>
      </c>
      <c r="B160" s="77" t="s">
        <v>634</v>
      </c>
      <c r="C160" s="77" t="s">
        <v>635</v>
      </c>
      <c r="D160" s="77" t="s">
        <v>123</v>
      </c>
      <c r="E160" s="78">
        <v>11717</v>
      </c>
      <c r="F160" s="77"/>
      <c r="G160" s="77" t="s">
        <v>636</v>
      </c>
      <c r="H160" s="60" t="s">
        <v>428</v>
      </c>
      <c r="I160" s="60" t="s">
        <v>637</v>
      </c>
      <c r="J160" s="62">
        <f>E160/(Total!C7*10^6)*100</f>
        <v>1.5791105121293801E-2</v>
      </c>
      <c r="K160" s="18">
        <v>2019</v>
      </c>
      <c r="L160" s="70" t="s">
        <v>195</v>
      </c>
      <c r="M160" s="18"/>
      <c r="N160" s="18"/>
    </row>
    <row r="161" spans="1:15" ht="49.5" customHeight="1">
      <c r="A161" s="52">
        <v>153</v>
      </c>
      <c r="B161" s="77" t="s">
        <v>638</v>
      </c>
      <c r="C161" s="77" t="s">
        <v>448</v>
      </c>
      <c r="D161" s="77" t="s">
        <v>203</v>
      </c>
      <c r="E161" s="78">
        <v>11715</v>
      </c>
      <c r="F161" s="87"/>
      <c r="G161" s="77" t="s">
        <v>638</v>
      </c>
      <c r="H161" s="60" t="s">
        <v>103</v>
      </c>
      <c r="I161" s="1" t="s">
        <v>639</v>
      </c>
      <c r="J161" s="62">
        <f>E161/(Total!C7*10^6)*100</f>
        <v>1.5788409703504043E-2</v>
      </c>
      <c r="K161" s="18">
        <v>2018</v>
      </c>
      <c r="L161" s="63" t="s">
        <v>92</v>
      </c>
      <c r="M161" s="18"/>
      <c r="N161" s="18"/>
    </row>
    <row r="162" spans="1:15" ht="142.5">
      <c r="A162" s="52">
        <v>154</v>
      </c>
      <c r="B162" s="77" t="s">
        <v>640</v>
      </c>
      <c r="C162" s="77" t="s">
        <v>641</v>
      </c>
      <c r="D162" s="77" t="s">
        <v>116</v>
      </c>
      <c r="E162" s="78">
        <v>11643</v>
      </c>
      <c r="F162" s="77"/>
      <c r="G162" s="77" t="s">
        <v>642</v>
      </c>
      <c r="H162" s="60" t="s">
        <v>643</v>
      </c>
      <c r="I162" s="60" t="s">
        <v>503</v>
      </c>
      <c r="J162" s="62">
        <f>E162/(Total!C7*10^6)*100</f>
        <v>1.5691374663072775E-2</v>
      </c>
      <c r="K162" s="18">
        <v>2018</v>
      </c>
      <c r="L162" s="70" t="s">
        <v>195</v>
      </c>
      <c r="M162" s="18"/>
      <c r="N162" s="18"/>
    </row>
    <row r="163" spans="1:15" ht="142.5">
      <c r="A163" s="52">
        <v>155</v>
      </c>
      <c r="B163" s="77" t="s">
        <v>644</v>
      </c>
      <c r="C163" s="77" t="s">
        <v>645</v>
      </c>
      <c r="D163" s="77" t="s">
        <v>116</v>
      </c>
      <c r="E163" s="78">
        <v>11590</v>
      </c>
      <c r="F163" s="77"/>
      <c r="G163" s="77" t="s">
        <v>646</v>
      </c>
      <c r="H163" s="60" t="s">
        <v>643</v>
      </c>
      <c r="I163" s="60"/>
      <c r="J163" s="62">
        <f>E163/(Total!C7*10^6)*100</f>
        <v>1.5619946091644205E-2</v>
      </c>
      <c r="K163" s="18">
        <v>2018</v>
      </c>
      <c r="L163" s="63" t="s">
        <v>195</v>
      </c>
      <c r="M163" s="18"/>
      <c r="N163" s="18"/>
    </row>
    <row r="164" spans="1:15" s="90" customFormat="1" ht="142.5">
      <c r="A164" s="52">
        <v>156</v>
      </c>
      <c r="B164" s="77" t="s">
        <v>647</v>
      </c>
      <c r="C164" s="77" t="s">
        <v>648</v>
      </c>
      <c r="D164" s="77" t="s">
        <v>181</v>
      </c>
      <c r="E164" s="78">
        <v>11448</v>
      </c>
      <c r="F164" s="79"/>
      <c r="G164" s="77" t="s">
        <v>649</v>
      </c>
      <c r="H164" s="60" t="s">
        <v>103</v>
      </c>
      <c r="I164" s="60"/>
      <c r="J164" s="62">
        <f>E164/(Total!C7*10^6)*100</f>
        <v>1.5428571428571429E-2</v>
      </c>
      <c r="K164" s="18">
        <v>2018</v>
      </c>
      <c r="L164" s="63" t="s">
        <v>92</v>
      </c>
      <c r="M164" s="88"/>
      <c r="N164" s="88"/>
      <c r="O164" s="89"/>
    </row>
    <row r="165" spans="1:15" ht="142.5">
      <c r="A165" s="52">
        <v>157</v>
      </c>
      <c r="B165" s="79" t="s">
        <v>650</v>
      </c>
      <c r="C165" s="79" t="s">
        <v>651</v>
      </c>
      <c r="D165" s="79" t="s">
        <v>129</v>
      </c>
      <c r="E165" s="81">
        <v>11347</v>
      </c>
      <c r="F165" s="79"/>
      <c r="G165" s="79" t="s">
        <v>650</v>
      </c>
      <c r="H165" s="76" t="s">
        <v>419</v>
      </c>
      <c r="I165" s="60"/>
      <c r="J165" s="62">
        <f>E165/(Total!C7*10^6)*100</f>
        <v>1.529245283018868E-2</v>
      </c>
      <c r="K165" s="18">
        <v>2018</v>
      </c>
      <c r="L165" s="63" t="s">
        <v>92</v>
      </c>
      <c r="M165" s="18"/>
      <c r="N165" s="18"/>
    </row>
    <row r="166" spans="1:15" ht="128.25">
      <c r="A166" s="52">
        <v>158</v>
      </c>
      <c r="B166" s="79" t="s">
        <v>652</v>
      </c>
      <c r="C166" s="79" t="s">
        <v>653</v>
      </c>
      <c r="D166" s="79" t="s">
        <v>411</v>
      </c>
      <c r="E166" s="81">
        <f>450*25</f>
        <v>11250</v>
      </c>
      <c r="F166" s="79" t="s">
        <v>654</v>
      </c>
      <c r="G166" s="79" t="s">
        <v>655</v>
      </c>
      <c r="H166" s="60" t="s">
        <v>58</v>
      </c>
      <c r="I166" s="60" t="s">
        <v>269</v>
      </c>
      <c r="J166" s="62">
        <f>E166/(Total!C7*10^6)*100</f>
        <v>1.5161725067385445E-2</v>
      </c>
      <c r="K166" s="18">
        <v>2017</v>
      </c>
      <c r="L166" s="63" t="s">
        <v>656</v>
      </c>
      <c r="M166" s="18"/>
      <c r="N166" s="18"/>
    </row>
    <row r="167" spans="1:15" ht="142.5">
      <c r="A167" s="52">
        <v>159</v>
      </c>
      <c r="B167" s="77" t="s">
        <v>657</v>
      </c>
      <c r="C167" s="77" t="s">
        <v>658</v>
      </c>
      <c r="D167" s="77" t="s">
        <v>85</v>
      </c>
      <c r="E167" s="78">
        <v>10982</v>
      </c>
      <c r="F167" s="77"/>
      <c r="G167" s="82" t="s">
        <v>657</v>
      </c>
      <c r="H167" s="76" t="s">
        <v>419</v>
      </c>
      <c r="I167" s="60"/>
      <c r="J167" s="62">
        <f>E167/(Total!C7*10^6)*100</f>
        <v>1.4800539083557952E-2</v>
      </c>
      <c r="K167" s="18">
        <v>2018</v>
      </c>
      <c r="L167" s="63" t="s">
        <v>195</v>
      </c>
      <c r="M167" s="18"/>
      <c r="N167" s="18"/>
    </row>
    <row r="168" spans="1:15" ht="142.5">
      <c r="A168" s="52">
        <v>160</v>
      </c>
      <c r="B168" s="77" t="s">
        <v>659</v>
      </c>
      <c r="C168" s="83" t="s">
        <v>475</v>
      </c>
      <c r="D168" s="77" t="s">
        <v>129</v>
      </c>
      <c r="E168" s="78">
        <v>10924</v>
      </c>
      <c r="F168" s="77"/>
      <c r="G168" s="82" t="s">
        <v>660</v>
      </c>
      <c r="H168" s="76" t="s">
        <v>419</v>
      </c>
      <c r="I168" s="60"/>
      <c r="J168" s="62">
        <f>E168/(Total!C7*10^6)*100</f>
        <v>1.4722371967654987E-2</v>
      </c>
      <c r="K168" s="18">
        <v>2018</v>
      </c>
      <c r="L168" s="63" t="s">
        <v>195</v>
      </c>
      <c r="M168" s="18"/>
      <c r="N168" s="18"/>
    </row>
    <row r="169" spans="1:15" ht="56.85" customHeight="1">
      <c r="A169" s="52">
        <v>161</v>
      </c>
      <c r="B169" s="79" t="s">
        <v>661</v>
      </c>
      <c r="C169" s="79" t="s">
        <v>364</v>
      </c>
      <c r="D169" s="79" t="s">
        <v>95</v>
      </c>
      <c r="E169" s="81">
        <v>10747</v>
      </c>
      <c r="F169" s="79"/>
      <c r="G169" s="79" t="s">
        <v>662</v>
      </c>
      <c r="H169" s="60" t="s">
        <v>643</v>
      </c>
      <c r="I169" s="60" t="s">
        <v>503</v>
      </c>
      <c r="J169" s="62">
        <f>E169/(Total!C7*10^6)*100</f>
        <v>1.4483827493261457E-2</v>
      </c>
      <c r="K169" s="18">
        <v>2017</v>
      </c>
      <c r="L169" s="70" t="s">
        <v>195</v>
      </c>
      <c r="M169" s="18"/>
      <c r="N169" s="18"/>
    </row>
    <row r="170" spans="1:15" ht="270.75">
      <c r="A170" s="52">
        <v>162</v>
      </c>
      <c r="B170" s="77" t="s">
        <v>663</v>
      </c>
      <c r="C170" s="77" t="s">
        <v>664</v>
      </c>
      <c r="D170" s="77" t="s">
        <v>214</v>
      </c>
      <c r="E170" s="78">
        <v>10572</v>
      </c>
      <c r="F170" s="77"/>
      <c r="G170" s="77" t="s">
        <v>665</v>
      </c>
      <c r="H170" s="60" t="s">
        <v>103</v>
      </c>
      <c r="I170" s="60"/>
      <c r="J170" s="62">
        <f>E170/(Total!C7*10^6)*100</f>
        <v>1.4247978436657684E-2</v>
      </c>
      <c r="K170" s="18">
        <v>2018</v>
      </c>
      <c r="L170" s="63" t="s">
        <v>146</v>
      </c>
      <c r="M170" s="18"/>
      <c r="N170" s="18"/>
    </row>
    <row r="171" spans="1:15" ht="142.5">
      <c r="A171" s="52">
        <v>163</v>
      </c>
      <c r="B171" s="77" t="s">
        <v>666</v>
      </c>
      <c r="C171" s="77" t="s">
        <v>667</v>
      </c>
      <c r="D171" s="77" t="s">
        <v>129</v>
      </c>
      <c r="E171" s="78">
        <v>10432</v>
      </c>
      <c r="F171" s="79"/>
      <c r="G171" s="77" t="s">
        <v>668</v>
      </c>
      <c r="H171" s="60" t="s">
        <v>103</v>
      </c>
      <c r="I171" s="60"/>
      <c r="J171" s="62">
        <f>E171/(Total!C7*10^6)*100</f>
        <v>1.4059299191374663E-2</v>
      </c>
      <c r="K171" s="18">
        <v>2018</v>
      </c>
      <c r="L171" s="63" t="s">
        <v>195</v>
      </c>
      <c r="M171" s="18"/>
      <c r="N171" s="18"/>
    </row>
    <row r="172" spans="1:15" ht="142.5">
      <c r="A172" s="52">
        <v>164</v>
      </c>
      <c r="B172" s="77" t="s">
        <v>669</v>
      </c>
      <c r="C172" s="77" t="s">
        <v>670</v>
      </c>
      <c r="D172" s="77" t="s">
        <v>129</v>
      </c>
      <c r="E172" s="78">
        <v>10344</v>
      </c>
      <c r="F172" s="77"/>
      <c r="G172" s="77" t="s">
        <v>671</v>
      </c>
      <c r="H172" s="76" t="s">
        <v>419</v>
      </c>
      <c r="I172" s="60"/>
      <c r="J172" s="62">
        <f>E172/(Total!C7*10^6)*100</f>
        <v>1.3940700808625337E-2</v>
      </c>
      <c r="K172" s="18">
        <v>2018</v>
      </c>
      <c r="L172" s="63" t="s">
        <v>195</v>
      </c>
      <c r="M172" s="18"/>
      <c r="N172" s="18"/>
    </row>
    <row r="173" spans="1:15" ht="37.35" customHeight="1">
      <c r="A173" s="52">
        <v>165</v>
      </c>
      <c r="B173" s="77" t="s">
        <v>672</v>
      </c>
      <c r="C173" s="77" t="s">
        <v>479</v>
      </c>
      <c r="D173" s="77" t="s">
        <v>77</v>
      </c>
      <c r="E173" s="78">
        <v>9855</v>
      </c>
      <c r="F173" s="77"/>
      <c r="G173" s="77" t="s">
        <v>673</v>
      </c>
      <c r="H173" s="60" t="s">
        <v>428</v>
      </c>
      <c r="I173" s="60" t="s">
        <v>503</v>
      </c>
      <c r="J173" s="91">
        <f>E173/(Total!C7*10^6)*100</f>
        <v>1.3281671159029649E-2</v>
      </c>
      <c r="K173" s="18">
        <v>2018</v>
      </c>
      <c r="L173" s="70" t="s">
        <v>195</v>
      </c>
      <c r="M173" s="18"/>
      <c r="N173" s="18"/>
    </row>
    <row r="174" spans="1:15" ht="41.25" customHeight="1">
      <c r="A174" s="52">
        <v>166</v>
      </c>
      <c r="B174" s="86" t="s">
        <v>674</v>
      </c>
      <c r="C174" s="86" t="s">
        <v>459</v>
      </c>
      <c r="D174" s="86" t="s">
        <v>675</v>
      </c>
      <c r="E174" s="92">
        <f>0.2*298+9336+0.2*25</f>
        <v>9400.6</v>
      </c>
      <c r="F174" s="86" t="s">
        <v>676</v>
      </c>
      <c r="G174" s="86" t="s">
        <v>218</v>
      </c>
      <c r="H174" s="60" t="s">
        <v>219</v>
      </c>
      <c r="I174" s="86"/>
      <c r="J174" s="91">
        <f>E174/(Total!C7*10^6)*100</f>
        <v>1.2669272237196766E-2</v>
      </c>
      <c r="K174" s="18">
        <v>2017</v>
      </c>
      <c r="L174" s="18" t="s">
        <v>220</v>
      </c>
      <c r="M174" s="18"/>
      <c r="N174" s="18"/>
    </row>
    <row r="175" spans="1:15" ht="142.5">
      <c r="A175" s="52">
        <v>167</v>
      </c>
      <c r="B175" s="77" t="s">
        <v>677</v>
      </c>
      <c r="C175" s="77" t="s">
        <v>678</v>
      </c>
      <c r="D175" s="77" t="s">
        <v>85</v>
      </c>
      <c r="E175" s="78">
        <v>9372</v>
      </c>
      <c r="F175" s="77"/>
      <c r="G175" s="77" t="s">
        <v>677</v>
      </c>
      <c r="H175" s="60" t="s">
        <v>428</v>
      </c>
      <c r="I175" s="60" t="s">
        <v>503</v>
      </c>
      <c r="J175" s="91">
        <f>E175/(Total!C7*10^6)*100</f>
        <v>1.2630727762803233E-2</v>
      </c>
      <c r="K175" s="18">
        <v>2018</v>
      </c>
      <c r="L175" s="70" t="s">
        <v>92</v>
      </c>
      <c r="M175" s="18"/>
      <c r="N175" s="18"/>
    </row>
    <row r="176" spans="1:15" ht="128.25">
      <c r="A176" s="52">
        <v>168</v>
      </c>
      <c r="B176" s="79" t="s">
        <v>679</v>
      </c>
      <c r="C176" s="79" t="s">
        <v>680</v>
      </c>
      <c r="D176" s="79" t="s">
        <v>473</v>
      </c>
      <c r="E176" s="81">
        <f>364*25</f>
        <v>9100</v>
      </c>
      <c r="F176" s="79" t="s">
        <v>681</v>
      </c>
      <c r="G176" s="79" t="s">
        <v>682</v>
      </c>
      <c r="H176" s="60" t="s">
        <v>58</v>
      </c>
      <c r="I176" s="60" t="s">
        <v>269</v>
      </c>
      <c r="J176" s="91">
        <f>E176/(Total!C7*10^6)*100</f>
        <v>1.2264150943396227E-2</v>
      </c>
      <c r="K176" s="18">
        <v>2017</v>
      </c>
      <c r="L176" s="63" t="s">
        <v>683</v>
      </c>
      <c r="M176" s="18"/>
      <c r="N176" s="18"/>
    </row>
    <row r="177" spans="1:15" ht="142.5">
      <c r="A177" s="52">
        <v>169</v>
      </c>
      <c r="B177" s="60" t="s">
        <v>684</v>
      </c>
      <c r="C177" s="60" t="s">
        <v>685</v>
      </c>
      <c r="D177" s="60" t="s">
        <v>129</v>
      </c>
      <c r="E177" s="61">
        <v>8961</v>
      </c>
      <c r="F177" s="60"/>
      <c r="G177" s="60" t="s">
        <v>586</v>
      </c>
      <c r="H177" s="76" t="s">
        <v>419</v>
      </c>
      <c r="I177" s="60"/>
      <c r="J177" s="91">
        <f>E177/(Total!C7*10^6)*100</f>
        <v>1.2076819407008086E-2</v>
      </c>
      <c r="K177" s="18">
        <v>2018</v>
      </c>
      <c r="L177" s="63" t="s">
        <v>195</v>
      </c>
      <c r="M177" s="18"/>
      <c r="N177" s="18"/>
    </row>
    <row r="178" spans="1:15" ht="142.5">
      <c r="A178" s="52">
        <v>170</v>
      </c>
      <c r="B178" s="68" t="s">
        <v>686</v>
      </c>
      <c r="C178" s="68" t="s">
        <v>687</v>
      </c>
      <c r="D178" s="60" t="s">
        <v>129</v>
      </c>
      <c r="E178" s="69">
        <f>0.2*298+8825+0.8*25</f>
        <v>8904.6</v>
      </c>
      <c r="F178" s="68" t="s">
        <v>688</v>
      </c>
      <c r="G178" s="68" t="s">
        <v>333</v>
      </c>
      <c r="H178" s="60" t="s">
        <v>334</v>
      </c>
      <c r="I178" s="60"/>
      <c r="J178" s="91">
        <f>E178/(Total!C7*10^6)*100</f>
        <v>1.2000808625336928E-2</v>
      </c>
      <c r="K178" s="18">
        <v>2017</v>
      </c>
      <c r="L178" s="18" t="s">
        <v>220</v>
      </c>
      <c r="M178" s="18"/>
      <c r="N178" s="18"/>
    </row>
    <row r="179" spans="1:15" ht="128.25">
      <c r="A179" s="52">
        <v>171</v>
      </c>
      <c r="B179" s="68" t="s">
        <v>689</v>
      </c>
      <c r="C179" s="68" t="s">
        <v>181</v>
      </c>
      <c r="D179" s="68" t="s">
        <v>181</v>
      </c>
      <c r="E179" s="69">
        <f>355*25</f>
        <v>8875</v>
      </c>
      <c r="F179" s="68" t="s">
        <v>690</v>
      </c>
      <c r="G179" s="68" t="s">
        <v>691</v>
      </c>
      <c r="H179" s="60" t="s">
        <v>58</v>
      </c>
      <c r="I179" s="60" t="s">
        <v>269</v>
      </c>
      <c r="J179" s="91">
        <f>E179/(Total!C7*10^6)*100</f>
        <v>1.1960916442048518E-2</v>
      </c>
      <c r="K179" s="18">
        <v>2017</v>
      </c>
      <c r="L179" s="63" t="s">
        <v>692</v>
      </c>
      <c r="M179" s="18"/>
      <c r="N179" s="18"/>
    </row>
    <row r="180" spans="1:15" ht="128.25">
      <c r="A180" s="52">
        <v>172</v>
      </c>
      <c r="B180" s="60" t="s">
        <v>693</v>
      </c>
      <c r="C180" s="60" t="s">
        <v>694</v>
      </c>
      <c r="D180" s="60" t="s">
        <v>375</v>
      </c>
      <c r="E180" s="61">
        <f>343*25</f>
        <v>8575</v>
      </c>
      <c r="F180" s="60" t="s">
        <v>695</v>
      </c>
      <c r="G180" s="60" t="s">
        <v>693</v>
      </c>
      <c r="H180" s="60" t="s">
        <v>118</v>
      </c>
      <c r="I180" s="60" t="s">
        <v>696</v>
      </c>
      <c r="J180" s="91">
        <f>E180/(Total!C7*10^6)*100</f>
        <v>1.1556603773584907E-2</v>
      </c>
      <c r="K180" s="18">
        <v>2017</v>
      </c>
      <c r="L180" s="63" t="s">
        <v>697</v>
      </c>
      <c r="M180" s="18"/>
      <c r="N180" s="18"/>
    </row>
    <row r="181" spans="1:15" customFormat="1" ht="128.25">
      <c r="A181" s="52">
        <v>173</v>
      </c>
      <c r="B181" s="60" t="s">
        <v>698</v>
      </c>
      <c r="C181" s="60" t="s">
        <v>699</v>
      </c>
      <c r="D181" s="60" t="s">
        <v>411</v>
      </c>
      <c r="E181" s="61">
        <f>13.5*298+180*25</f>
        <v>8523</v>
      </c>
      <c r="F181" s="60" t="s">
        <v>700</v>
      </c>
      <c r="G181" s="60" t="s">
        <v>701</v>
      </c>
      <c r="H181" s="60" t="s">
        <v>118</v>
      </c>
      <c r="I181" s="60" t="s">
        <v>702</v>
      </c>
      <c r="J181" s="91">
        <f>E181/(Total!C7*10^6)*100</f>
        <v>1.1486522911051213E-2</v>
      </c>
      <c r="K181" s="18">
        <v>2017</v>
      </c>
      <c r="L181" s="63" t="s">
        <v>703</v>
      </c>
      <c r="M181" s="18"/>
      <c r="N181" s="18"/>
      <c r="O181" s="1"/>
    </row>
    <row r="182" spans="1:15" customFormat="1" ht="128.25">
      <c r="A182" s="52">
        <v>174</v>
      </c>
      <c r="B182" s="68" t="s">
        <v>704</v>
      </c>
      <c r="C182" s="68" t="s">
        <v>203</v>
      </c>
      <c r="D182" s="60" t="s">
        <v>203</v>
      </c>
      <c r="E182" s="69">
        <f>328*25</f>
        <v>8200</v>
      </c>
      <c r="F182" s="68" t="s">
        <v>705</v>
      </c>
      <c r="G182" s="68" t="s">
        <v>706</v>
      </c>
      <c r="H182" s="60" t="s">
        <v>58</v>
      </c>
      <c r="I182" s="60" t="s">
        <v>269</v>
      </c>
      <c r="J182" s="91">
        <f>E182/(Total!C7*10^6)*100</f>
        <v>1.1051212938005392E-2</v>
      </c>
      <c r="K182" s="18">
        <v>2017</v>
      </c>
      <c r="L182" s="63" t="s">
        <v>707</v>
      </c>
      <c r="M182" s="18"/>
      <c r="N182" s="18"/>
      <c r="O182" s="1"/>
    </row>
    <row r="183" spans="1:15" customFormat="1" ht="142.5">
      <c r="A183" s="52">
        <v>175</v>
      </c>
      <c r="B183" s="68" t="s">
        <v>708</v>
      </c>
      <c r="C183" s="68" t="s">
        <v>709</v>
      </c>
      <c r="D183" s="68" t="s">
        <v>123</v>
      </c>
      <c r="E183" s="69">
        <v>8009</v>
      </c>
      <c r="F183" s="68"/>
      <c r="G183" s="68" t="s">
        <v>708</v>
      </c>
      <c r="H183" s="76" t="s">
        <v>419</v>
      </c>
      <c r="I183" s="60"/>
      <c r="J183" s="91">
        <f>E183/(Total!C7*10^6)*100</f>
        <v>1.0793800539083557E-2</v>
      </c>
      <c r="K183" s="18">
        <v>2018</v>
      </c>
      <c r="L183" s="63" t="s">
        <v>195</v>
      </c>
      <c r="M183" s="18"/>
      <c r="N183" s="18"/>
      <c r="O183" s="1"/>
    </row>
    <row r="184" spans="1:15" customFormat="1" ht="128.25">
      <c r="A184" s="52">
        <v>176</v>
      </c>
      <c r="B184" s="68" t="s">
        <v>710</v>
      </c>
      <c r="C184" s="68" t="s">
        <v>336</v>
      </c>
      <c r="D184" s="60" t="s">
        <v>85</v>
      </c>
      <c r="E184" s="69">
        <f>308*25</f>
        <v>7700</v>
      </c>
      <c r="F184" s="68" t="s">
        <v>711</v>
      </c>
      <c r="G184" s="68" t="s">
        <v>712</v>
      </c>
      <c r="H184" s="60" t="s">
        <v>58</v>
      </c>
      <c r="I184" s="60" t="s">
        <v>269</v>
      </c>
      <c r="J184" s="91">
        <f>E184/(Total!C7*10^6)*100</f>
        <v>1.0377358490566037E-2</v>
      </c>
      <c r="K184" s="18">
        <v>2017</v>
      </c>
      <c r="L184" s="63" t="s">
        <v>713</v>
      </c>
      <c r="M184" s="18"/>
      <c r="N184" s="18"/>
      <c r="O184" s="1"/>
    </row>
    <row r="185" spans="1:15" customFormat="1" ht="142.5">
      <c r="A185" s="52">
        <v>177</v>
      </c>
      <c r="B185" s="60" t="s">
        <v>714</v>
      </c>
      <c r="C185" s="60" t="s">
        <v>715</v>
      </c>
      <c r="D185" s="60" t="s">
        <v>129</v>
      </c>
      <c r="E185" s="61">
        <v>7557</v>
      </c>
      <c r="F185" s="60"/>
      <c r="G185" s="60" t="s">
        <v>650</v>
      </c>
      <c r="H185" s="76" t="s">
        <v>419</v>
      </c>
      <c r="I185" s="60"/>
      <c r="J185" s="91">
        <f>E185/(Total!C7*10^6)*100</f>
        <v>1.0184636118598383E-2</v>
      </c>
      <c r="K185" s="18">
        <v>2018</v>
      </c>
      <c r="L185" s="63" t="s">
        <v>195</v>
      </c>
      <c r="M185" s="18"/>
      <c r="N185" s="18"/>
      <c r="O185" s="1"/>
    </row>
    <row r="186" spans="1:15" customFormat="1" ht="142.5">
      <c r="A186" s="52">
        <v>178</v>
      </c>
      <c r="B186" s="60" t="s">
        <v>404</v>
      </c>
      <c r="C186" s="60" t="s">
        <v>405</v>
      </c>
      <c r="D186" s="60" t="s">
        <v>108</v>
      </c>
      <c r="E186" s="61">
        <v>7353</v>
      </c>
      <c r="F186" s="68"/>
      <c r="G186" s="60" t="s">
        <v>404</v>
      </c>
      <c r="H186" s="60" t="s">
        <v>103</v>
      </c>
      <c r="I186" s="60"/>
      <c r="J186" s="91">
        <f>E186/(Total!C7*10^6)*100</f>
        <v>9.9097035040431273E-3</v>
      </c>
      <c r="K186" s="18">
        <v>2018</v>
      </c>
      <c r="L186" s="63" t="s">
        <v>195</v>
      </c>
      <c r="M186" s="18"/>
      <c r="N186" s="18"/>
      <c r="O186" s="1"/>
    </row>
    <row r="187" spans="1:15" customFormat="1" ht="142.5">
      <c r="A187" s="52">
        <v>179</v>
      </c>
      <c r="B187" s="60" t="s">
        <v>716</v>
      </c>
      <c r="C187" s="60" t="s">
        <v>717</v>
      </c>
      <c r="D187" s="60" t="s">
        <v>513</v>
      </c>
      <c r="E187" s="61">
        <v>7304</v>
      </c>
      <c r="F187" s="60"/>
      <c r="G187" s="60" t="s">
        <v>718</v>
      </c>
      <c r="H187" s="60" t="s">
        <v>103</v>
      </c>
      <c r="I187" s="60" t="s">
        <v>264</v>
      </c>
      <c r="J187" s="91">
        <f>E187/(Total!C7*10^6)*100</f>
        <v>9.8436657681940706E-3</v>
      </c>
      <c r="K187" s="18">
        <v>2016</v>
      </c>
      <c r="L187" s="63" t="s">
        <v>195</v>
      </c>
      <c r="M187" s="18"/>
      <c r="N187" s="18"/>
      <c r="O187" s="1"/>
    </row>
    <row r="188" spans="1:15" customFormat="1" ht="270.75">
      <c r="A188" s="52">
        <v>180</v>
      </c>
      <c r="B188" s="60" t="s">
        <v>719</v>
      </c>
      <c r="C188" s="1"/>
      <c r="D188" s="60" t="s">
        <v>85</v>
      </c>
      <c r="E188" s="61">
        <v>6929</v>
      </c>
      <c r="F188" s="60"/>
      <c r="G188" s="60" t="s">
        <v>720</v>
      </c>
      <c r="H188" s="60" t="s">
        <v>428</v>
      </c>
      <c r="I188" s="60" t="s">
        <v>429</v>
      </c>
      <c r="J188" s="91">
        <f>E188/(Total!C7*10^6)*100</f>
        <v>9.3382749326145556E-3</v>
      </c>
      <c r="K188" s="18">
        <v>2018</v>
      </c>
      <c r="L188" s="63" t="s">
        <v>146</v>
      </c>
      <c r="M188" s="18"/>
      <c r="N188" s="18"/>
      <c r="O188" s="1"/>
    </row>
    <row r="189" spans="1:15" customFormat="1" ht="142.5">
      <c r="A189" s="52">
        <v>181</v>
      </c>
      <c r="B189" s="60" t="s">
        <v>721</v>
      </c>
      <c r="C189" s="75" t="s">
        <v>601</v>
      </c>
      <c r="D189" s="75" t="s">
        <v>129</v>
      </c>
      <c r="E189" s="61">
        <v>6872</v>
      </c>
      <c r="F189" s="60"/>
      <c r="G189" s="75" t="s">
        <v>721</v>
      </c>
      <c r="H189" s="76" t="s">
        <v>419</v>
      </c>
      <c r="I189" s="60"/>
      <c r="J189" s="91">
        <f>E189/(Total!C7*10^6)*100</f>
        <v>9.2614555256064698E-3</v>
      </c>
      <c r="K189" s="18">
        <v>2018</v>
      </c>
      <c r="L189" s="63" t="s">
        <v>195</v>
      </c>
      <c r="M189" s="18"/>
      <c r="N189" s="18"/>
      <c r="O189" s="1"/>
    </row>
    <row r="190" spans="1:15" customFormat="1" ht="142.5">
      <c r="A190" s="52">
        <v>182</v>
      </c>
      <c r="B190" s="60" t="s">
        <v>722</v>
      </c>
      <c r="C190" s="60" t="s">
        <v>723</v>
      </c>
      <c r="D190" s="60" t="s">
        <v>375</v>
      </c>
      <c r="E190" s="61">
        <v>6721</v>
      </c>
      <c r="F190" s="60"/>
      <c r="G190" s="60" t="s">
        <v>724</v>
      </c>
      <c r="H190" s="60" t="s">
        <v>428</v>
      </c>
      <c r="I190" s="60" t="s">
        <v>503</v>
      </c>
      <c r="J190" s="91">
        <f>E190/(Total!C7*10^6)*100</f>
        <v>9.0579514824797834E-3</v>
      </c>
      <c r="K190" s="18">
        <v>2018</v>
      </c>
      <c r="L190" s="70" t="s">
        <v>195</v>
      </c>
      <c r="M190" s="18"/>
      <c r="N190" s="18"/>
      <c r="O190" s="1"/>
    </row>
    <row r="191" spans="1:15" customFormat="1" ht="142.5">
      <c r="A191" s="52">
        <v>183</v>
      </c>
      <c r="B191" s="60" t="s">
        <v>725</v>
      </c>
      <c r="C191" s="60" t="s">
        <v>352</v>
      </c>
      <c r="D191" s="60" t="s">
        <v>129</v>
      </c>
      <c r="E191" s="61">
        <f>21.4*298</f>
        <v>6377.2</v>
      </c>
      <c r="F191" s="60" t="s">
        <v>726</v>
      </c>
      <c r="G191" s="60" t="s">
        <v>727</v>
      </c>
      <c r="H191" s="60" t="s">
        <v>165</v>
      </c>
      <c r="I191" s="60" t="s">
        <v>490</v>
      </c>
      <c r="J191" s="91">
        <f>E191/(Total!C7*10^6)*100</f>
        <v>8.5946091644204838E-3</v>
      </c>
      <c r="K191" s="18">
        <v>2017</v>
      </c>
      <c r="L191" s="63" t="s">
        <v>728</v>
      </c>
      <c r="M191" s="18"/>
      <c r="N191" s="18"/>
      <c r="O191" s="1"/>
    </row>
    <row r="192" spans="1:15" customFormat="1" ht="142.5">
      <c r="A192" s="52">
        <v>184</v>
      </c>
      <c r="B192" s="60" t="s">
        <v>729</v>
      </c>
      <c r="C192" s="60" t="s">
        <v>248</v>
      </c>
      <c r="D192" s="60" t="s">
        <v>108</v>
      </c>
      <c r="E192" s="61">
        <v>6202</v>
      </c>
      <c r="F192" s="60"/>
      <c r="G192" s="60" t="s">
        <v>730</v>
      </c>
      <c r="H192" s="76" t="s">
        <v>419</v>
      </c>
      <c r="I192" s="60"/>
      <c r="J192" s="91">
        <f>E192/(Total!C7*10^6)*100</f>
        <v>8.3584905660377355E-3</v>
      </c>
      <c r="K192" s="18">
        <v>2018</v>
      </c>
      <c r="L192" s="63" t="s">
        <v>195</v>
      </c>
      <c r="M192" s="18"/>
      <c r="N192" s="18"/>
      <c r="O192" s="1"/>
    </row>
    <row r="193" spans="1:14" ht="142.5">
      <c r="A193" s="52">
        <v>185</v>
      </c>
      <c r="B193" s="60" t="s">
        <v>731</v>
      </c>
      <c r="C193" s="60" t="s">
        <v>266</v>
      </c>
      <c r="D193" s="60" t="s">
        <v>85</v>
      </c>
      <c r="E193" s="61">
        <v>6162</v>
      </c>
      <c r="F193" s="60"/>
      <c r="G193" s="60" t="s">
        <v>732</v>
      </c>
      <c r="H193" s="60" t="s">
        <v>428</v>
      </c>
      <c r="I193" s="60" t="s">
        <v>503</v>
      </c>
      <c r="J193" s="91">
        <f>E193/(Total!C7*10^6)*100</f>
        <v>8.3045822102425886E-3</v>
      </c>
      <c r="K193" s="18">
        <v>2018</v>
      </c>
      <c r="L193" s="70" t="s">
        <v>92</v>
      </c>
      <c r="M193" s="18"/>
      <c r="N193" s="18"/>
    </row>
    <row r="194" spans="1:14" ht="142.5">
      <c r="A194" s="52">
        <v>186</v>
      </c>
      <c r="B194" s="86" t="s">
        <v>733</v>
      </c>
      <c r="C194" s="86" t="s">
        <v>734</v>
      </c>
      <c r="D194" s="86" t="s">
        <v>129</v>
      </c>
      <c r="E194" s="92">
        <v>6096</v>
      </c>
      <c r="F194" s="86"/>
      <c r="G194" s="86" t="s">
        <v>735</v>
      </c>
      <c r="H194" s="60" t="s">
        <v>103</v>
      </c>
      <c r="I194" s="86" t="s">
        <v>264</v>
      </c>
      <c r="J194" s="91">
        <f>E194/(Total!C7*10^6)*100</f>
        <v>8.215633423180593E-3</v>
      </c>
      <c r="K194" s="18">
        <v>2018</v>
      </c>
      <c r="L194" s="63" t="s">
        <v>195</v>
      </c>
      <c r="M194" s="18"/>
      <c r="N194" s="18"/>
    </row>
    <row r="195" spans="1:14" ht="108.75" customHeight="1">
      <c r="A195" s="52">
        <v>187</v>
      </c>
      <c r="B195" s="60" t="s">
        <v>736</v>
      </c>
      <c r="C195" s="60" t="s">
        <v>737</v>
      </c>
      <c r="D195" s="60" t="s">
        <v>129</v>
      </c>
      <c r="E195" s="61">
        <v>6044</v>
      </c>
      <c r="F195" s="68"/>
      <c r="G195" s="60" t="s">
        <v>736</v>
      </c>
      <c r="H195" s="76" t="s">
        <v>419</v>
      </c>
      <c r="I195" s="60"/>
      <c r="J195" s="91">
        <f>E195/(Total!C7*10^6)*100</f>
        <v>8.1455525606469008E-3</v>
      </c>
      <c r="K195" s="18">
        <v>2018</v>
      </c>
      <c r="L195" s="63" t="s">
        <v>195</v>
      </c>
      <c r="M195" s="18"/>
      <c r="N195" s="18"/>
    </row>
    <row r="196" spans="1:14" ht="142.5">
      <c r="A196" s="52">
        <v>188</v>
      </c>
      <c r="B196" s="60" t="s">
        <v>738</v>
      </c>
      <c r="C196" s="60" t="s">
        <v>475</v>
      </c>
      <c r="D196" s="60" t="s">
        <v>129</v>
      </c>
      <c r="E196" s="61">
        <v>5913</v>
      </c>
      <c r="F196" s="60"/>
      <c r="G196" s="60" t="s">
        <v>739</v>
      </c>
      <c r="H196" s="76" t="s">
        <v>419</v>
      </c>
      <c r="I196" s="60"/>
      <c r="J196" s="91">
        <f>E196/(Total!C7*10^6)*100</f>
        <v>7.9690026954177887E-3</v>
      </c>
      <c r="K196" s="18">
        <v>2018</v>
      </c>
      <c r="L196" s="63" t="s">
        <v>195</v>
      </c>
      <c r="M196" s="18"/>
      <c r="N196" s="18"/>
    </row>
    <row r="197" spans="1:14" ht="128.25">
      <c r="A197" s="52">
        <v>189</v>
      </c>
      <c r="B197" s="68" t="s">
        <v>740</v>
      </c>
      <c r="C197" s="68" t="s">
        <v>741</v>
      </c>
      <c r="D197" s="60" t="s">
        <v>95</v>
      </c>
      <c r="E197" s="69">
        <f>236*25</f>
        <v>5900</v>
      </c>
      <c r="F197" s="68" t="s">
        <v>742</v>
      </c>
      <c r="G197" s="68" t="s">
        <v>743</v>
      </c>
      <c r="H197" s="60" t="s">
        <v>58</v>
      </c>
      <c r="I197" s="60" t="s">
        <v>269</v>
      </c>
      <c r="J197" s="91">
        <f>E197/(Total!C7*10^6)*100</f>
        <v>7.9514824797843678E-3</v>
      </c>
      <c r="K197" s="18">
        <v>2017</v>
      </c>
      <c r="L197" s="63" t="s">
        <v>744</v>
      </c>
      <c r="M197" s="18"/>
      <c r="N197" s="18"/>
    </row>
    <row r="198" spans="1:14" ht="142.5">
      <c r="A198" s="52">
        <v>190</v>
      </c>
      <c r="B198" s="68" t="s">
        <v>745</v>
      </c>
      <c r="C198" s="68" t="s">
        <v>687</v>
      </c>
      <c r="D198" s="60" t="s">
        <v>129</v>
      </c>
      <c r="E198" s="69">
        <v>5852</v>
      </c>
      <c r="F198" s="68"/>
      <c r="G198" s="68" t="s">
        <v>746</v>
      </c>
      <c r="H198" s="60" t="s">
        <v>165</v>
      </c>
      <c r="I198" s="60"/>
      <c r="J198" s="91">
        <f>E198/(Total!C7*10^6)*100</f>
        <v>7.8867924528301884E-3</v>
      </c>
      <c r="K198" s="18">
        <v>2018</v>
      </c>
      <c r="L198" s="63" t="s">
        <v>92</v>
      </c>
      <c r="M198" s="18"/>
      <c r="N198" s="18"/>
    </row>
    <row r="199" spans="1:14" ht="142.5">
      <c r="A199" s="52">
        <v>191</v>
      </c>
      <c r="B199" s="60" t="s">
        <v>747</v>
      </c>
      <c r="C199" s="60" t="s">
        <v>748</v>
      </c>
      <c r="D199" s="60" t="s">
        <v>203</v>
      </c>
      <c r="E199" s="61">
        <v>5597</v>
      </c>
      <c r="F199" s="60"/>
      <c r="G199" s="60" t="s">
        <v>747</v>
      </c>
      <c r="H199" s="76" t="s">
        <v>419</v>
      </c>
      <c r="I199" s="60"/>
      <c r="J199" s="91">
        <f>E199/(Total!C7*10^6)*100</f>
        <v>7.5431266846361185E-3</v>
      </c>
      <c r="K199" s="18">
        <v>2017</v>
      </c>
      <c r="L199" s="63" t="s">
        <v>195</v>
      </c>
      <c r="M199" s="18"/>
      <c r="N199" s="18"/>
    </row>
    <row r="200" spans="1:14" ht="142.5">
      <c r="A200" s="52">
        <v>192</v>
      </c>
      <c r="B200" s="60" t="s">
        <v>749</v>
      </c>
      <c r="C200" s="60" t="s">
        <v>750</v>
      </c>
      <c r="D200" s="60" t="s">
        <v>77</v>
      </c>
      <c r="E200" s="61">
        <v>5549</v>
      </c>
      <c r="F200" s="60"/>
      <c r="G200" s="60" t="s">
        <v>749</v>
      </c>
      <c r="H200" s="60" t="s">
        <v>751</v>
      </c>
      <c r="I200" s="60" t="s">
        <v>503</v>
      </c>
      <c r="J200" s="91">
        <f>E200/(Total!C7*10^6)*100</f>
        <v>7.4784366576819399E-3</v>
      </c>
      <c r="K200" s="18">
        <v>2018</v>
      </c>
      <c r="L200" s="70" t="s">
        <v>195</v>
      </c>
      <c r="M200" s="18"/>
      <c r="N200" s="18"/>
    </row>
    <row r="201" spans="1:14" ht="142.5">
      <c r="A201" s="52">
        <v>193</v>
      </c>
      <c r="B201" s="68" t="s">
        <v>752</v>
      </c>
      <c r="C201" s="68" t="s">
        <v>148</v>
      </c>
      <c r="D201" s="60" t="s">
        <v>108</v>
      </c>
      <c r="E201" s="69">
        <f>0.1*298+5303+0.5*25</f>
        <v>5345.3</v>
      </c>
      <c r="F201" s="68" t="s">
        <v>753</v>
      </c>
      <c r="G201" s="68" t="s">
        <v>333</v>
      </c>
      <c r="H201" s="60" t="s">
        <v>334</v>
      </c>
      <c r="I201" s="60"/>
      <c r="J201" s="91">
        <f>E201/(Total!C7*10^6)*100</f>
        <v>7.2039083557951487E-3</v>
      </c>
      <c r="K201" s="18">
        <v>2017</v>
      </c>
      <c r="L201" s="63" t="s">
        <v>220</v>
      </c>
      <c r="M201" s="18"/>
      <c r="N201" s="18"/>
    </row>
    <row r="202" spans="1:14" ht="142.5">
      <c r="A202" s="52">
        <v>194</v>
      </c>
      <c r="B202" s="60" t="s">
        <v>754</v>
      </c>
      <c r="D202" s="60" t="s">
        <v>129</v>
      </c>
      <c r="E202" s="61">
        <v>5322</v>
      </c>
      <c r="F202" s="60"/>
      <c r="G202" s="60" t="s">
        <v>602</v>
      </c>
      <c r="H202" s="76" t="s">
        <v>419</v>
      </c>
      <c r="I202" s="60"/>
      <c r="J202" s="91">
        <f>E202/(Total!C7*10^6)*100</f>
        <v>7.1725067385444742E-3</v>
      </c>
      <c r="K202" s="18">
        <v>2018</v>
      </c>
      <c r="L202" s="63" t="s">
        <v>195</v>
      </c>
      <c r="M202" s="18"/>
      <c r="N202" s="18"/>
    </row>
    <row r="203" spans="1:14" ht="142.5">
      <c r="A203" s="52">
        <v>195</v>
      </c>
      <c r="B203" s="60" t="s">
        <v>755</v>
      </c>
      <c r="C203" s="60" t="s">
        <v>483</v>
      </c>
      <c r="D203" s="60" t="s">
        <v>484</v>
      </c>
      <c r="E203" s="61">
        <f>0.1*298+5223+0.5*25</f>
        <v>5265.3</v>
      </c>
      <c r="F203" s="68" t="s">
        <v>756</v>
      </c>
      <c r="G203" s="60" t="s">
        <v>333</v>
      </c>
      <c r="H203" s="60" t="s">
        <v>334</v>
      </c>
      <c r="I203" s="60"/>
      <c r="J203" s="91">
        <f>E203/(Total!C7*10^6)*100</f>
        <v>7.0960916442048523E-3</v>
      </c>
      <c r="K203" s="18">
        <v>2017</v>
      </c>
      <c r="L203" s="18" t="s">
        <v>220</v>
      </c>
      <c r="M203" s="18"/>
      <c r="N203" s="18"/>
    </row>
    <row r="204" spans="1:14" ht="156.75">
      <c r="A204" s="52">
        <v>196</v>
      </c>
      <c r="B204" s="60" t="s">
        <v>757</v>
      </c>
      <c r="C204" s="60" t="s">
        <v>360</v>
      </c>
      <c r="D204" s="60" t="s">
        <v>85</v>
      </c>
      <c r="E204" s="61">
        <v>5224</v>
      </c>
      <c r="F204" s="60"/>
      <c r="G204" s="68" t="s">
        <v>361</v>
      </c>
      <c r="H204" s="60" t="s">
        <v>103</v>
      </c>
      <c r="I204" s="60" t="s">
        <v>362</v>
      </c>
      <c r="J204" s="91">
        <f>E204/(Total!C7*10^6)*100</f>
        <v>7.0404312668463616E-3</v>
      </c>
      <c r="K204" s="18">
        <v>2018</v>
      </c>
      <c r="L204" s="63" t="s">
        <v>195</v>
      </c>
      <c r="M204" s="18"/>
      <c r="N204" s="18"/>
    </row>
    <row r="205" spans="1:14" ht="142.5">
      <c r="A205" s="52">
        <v>197</v>
      </c>
      <c r="B205" s="68" t="s">
        <v>758</v>
      </c>
      <c r="C205" s="60" t="s">
        <v>759</v>
      </c>
      <c r="D205" s="60" t="s">
        <v>129</v>
      </c>
      <c r="E205" s="69">
        <v>5205</v>
      </c>
      <c r="F205" s="68"/>
      <c r="G205" s="68" t="s">
        <v>760</v>
      </c>
      <c r="H205" s="76" t="s">
        <v>419</v>
      </c>
      <c r="I205" s="60"/>
      <c r="J205" s="91">
        <f>E205/(Total!C7*10^6)*100</f>
        <v>7.0148247978436664E-3</v>
      </c>
      <c r="K205" s="18">
        <v>2018</v>
      </c>
      <c r="L205" s="63" t="s">
        <v>195</v>
      </c>
      <c r="M205" s="18"/>
      <c r="N205" s="18"/>
    </row>
    <row r="206" spans="1:14" ht="142.5">
      <c r="A206" s="52">
        <v>198</v>
      </c>
      <c r="B206" s="68" t="s">
        <v>761</v>
      </c>
      <c r="C206" s="60" t="s">
        <v>762</v>
      </c>
      <c r="D206" s="60" t="s">
        <v>77</v>
      </c>
      <c r="E206" s="69">
        <v>4808</v>
      </c>
      <c r="F206" s="68"/>
      <c r="G206" s="68" t="s">
        <v>761</v>
      </c>
      <c r="H206" s="60"/>
      <c r="I206" s="60"/>
      <c r="J206" s="91">
        <f>E206/(Total!C7*10^6)*100</f>
        <v>6.4797843665768198E-3</v>
      </c>
      <c r="K206" s="18">
        <v>2018</v>
      </c>
      <c r="L206" s="63" t="s">
        <v>195</v>
      </c>
      <c r="M206" s="18"/>
      <c r="N206" s="18"/>
    </row>
    <row r="207" spans="1:14" ht="142.5">
      <c r="A207" s="52">
        <v>199</v>
      </c>
      <c r="B207" s="60" t="s">
        <v>763</v>
      </c>
      <c r="C207" s="60" t="s">
        <v>764</v>
      </c>
      <c r="D207" s="60" t="s">
        <v>765</v>
      </c>
      <c r="E207" s="61">
        <f>0.1*298+4754+0.3*25</f>
        <v>4791.3</v>
      </c>
      <c r="F207" s="60" t="s">
        <v>766</v>
      </c>
      <c r="G207" s="60" t="s">
        <v>218</v>
      </c>
      <c r="H207" s="60" t="s">
        <v>219</v>
      </c>
      <c r="I207" s="60"/>
      <c r="J207" s="91">
        <f>E207/(Total!C7*10^6)*100</f>
        <v>6.4572776280323449E-3</v>
      </c>
      <c r="K207" s="18">
        <v>2017</v>
      </c>
      <c r="L207" s="18" t="s">
        <v>220</v>
      </c>
      <c r="M207" s="18"/>
      <c r="N207" s="18"/>
    </row>
    <row r="208" spans="1:14" ht="142.5">
      <c r="A208" s="52">
        <v>200</v>
      </c>
      <c r="B208" s="60" t="s">
        <v>767</v>
      </c>
      <c r="C208" s="60" t="s">
        <v>737</v>
      </c>
      <c r="D208" s="60" t="s">
        <v>129</v>
      </c>
      <c r="E208" s="61">
        <v>4748</v>
      </c>
      <c r="F208" s="68"/>
      <c r="G208" s="60" t="s">
        <v>612</v>
      </c>
      <c r="H208" s="76" t="s">
        <v>419</v>
      </c>
      <c r="I208" s="60"/>
      <c r="J208" s="91">
        <f>E208/(Total!C7*10^6)*100</f>
        <v>6.3989218328840969E-3</v>
      </c>
      <c r="K208" s="18">
        <v>2018</v>
      </c>
      <c r="L208" s="63" t="s">
        <v>92</v>
      </c>
      <c r="M208" s="18"/>
      <c r="N208" s="18"/>
    </row>
    <row r="209" spans="1:15" ht="128.25">
      <c r="A209" s="52">
        <v>201</v>
      </c>
      <c r="B209" s="68" t="s">
        <v>768</v>
      </c>
      <c r="C209" s="93" t="s">
        <v>769</v>
      </c>
      <c r="D209" s="60" t="s">
        <v>123</v>
      </c>
      <c r="E209" s="69">
        <f>185*25</f>
        <v>4625</v>
      </c>
      <c r="F209" s="68" t="s">
        <v>770</v>
      </c>
      <c r="G209" s="68" t="s">
        <v>771</v>
      </c>
      <c r="H209" s="60" t="s">
        <v>58</v>
      </c>
      <c r="I209" s="60" t="s">
        <v>269</v>
      </c>
      <c r="J209" s="91">
        <f>E209/(Total!C7*10^6)*100</f>
        <v>6.2331536388140155E-3</v>
      </c>
      <c r="K209" s="18">
        <v>2017</v>
      </c>
      <c r="L209" s="63" t="s">
        <v>772</v>
      </c>
      <c r="M209" s="18"/>
      <c r="N209" s="18"/>
    </row>
    <row r="210" spans="1:15" ht="128.25">
      <c r="A210" s="52">
        <v>202</v>
      </c>
      <c r="B210" s="68" t="s">
        <v>773</v>
      </c>
      <c r="C210" s="68" t="s">
        <v>774</v>
      </c>
      <c r="D210" s="60" t="s">
        <v>181</v>
      </c>
      <c r="E210" s="69">
        <f>182*25</f>
        <v>4550</v>
      </c>
      <c r="F210" s="68" t="s">
        <v>775</v>
      </c>
      <c r="G210" s="68" t="s">
        <v>776</v>
      </c>
      <c r="H210" s="60" t="s">
        <v>58</v>
      </c>
      <c r="I210" s="60" t="s">
        <v>269</v>
      </c>
      <c r="J210" s="91">
        <f>E210/(Total!C7*10^6)*100</f>
        <v>6.1320754716981136E-3</v>
      </c>
      <c r="K210" s="18">
        <v>2017</v>
      </c>
      <c r="L210" s="63" t="s">
        <v>777</v>
      </c>
      <c r="M210" s="18"/>
      <c r="N210" s="18"/>
    </row>
    <row r="211" spans="1:15" ht="142.5">
      <c r="A211" s="52">
        <v>203</v>
      </c>
      <c r="B211" s="60" t="s">
        <v>778</v>
      </c>
      <c r="C211" s="60" t="s">
        <v>76</v>
      </c>
      <c r="D211" s="60" t="s">
        <v>77</v>
      </c>
      <c r="E211" s="61">
        <v>4447</v>
      </c>
      <c r="F211" s="60"/>
      <c r="G211" s="60" t="s">
        <v>779</v>
      </c>
      <c r="H211" s="60" t="s">
        <v>165</v>
      </c>
      <c r="I211" s="60" t="s">
        <v>780</v>
      </c>
      <c r="J211" s="91">
        <f>E211/(Total!C7*10^6)*100</f>
        <v>5.9932614555256065E-3</v>
      </c>
      <c r="K211" s="18">
        <v>2018</v>
      </c>
      <c r="L211" s="63" t="s">
        <v>195</v>
      </c>
      <c r="M211" s="18"/>
      <c r="N211" s="18"/>
    </row>
    <row r="212" spans="1:15" ht="142.5">
      <c r="A212" s="52">
        <v>204</v>
      </c>
      <c r="B212" s="60" t="s">
        <v>781</v>
      </c>
      <c r="C212" s="60" t="s">
        <v>782</v>
      </c>
      <c r="D212" s="60" t="s">
        <v>181</v>
      </c>
      <c r="E212" s="61">
        <v>4343</v>
      </c>
      <c r="F212" s="68"/>
      <c r="G212" s="60" t="s">
        <v>781</v>
      </c>
      <c r="H212" s="60" t="s">
        <v>643</v>
      </c>
      <c r="I212" s="60" t="s">
        <v>503</v>
      </c>
      <c r="J212" s="91">
        <f>E212/(Total!C7*10^6)*100</f>
        <v>5.8530997304582213E-3</v>
      </c>
      <c r="K212" s="18">
        <v>2018</v>
      </c>
      <c r="L212" s="70" t="s">
        <v>195</v>
      </c>
      <c r="M212" s="18"/>
      <c r="N212" s="18"/>
    </row>
    <row r="213" spans="1:15" ht="270.75">
      <c r="A213" s="52">
        <v>205</v>
      </c>
      <c r="B213" s="60" t="s">
        <v>783</v>
      </c>
      <c r="C213" s="60" t="s">
        <v>784</v>
      </c>
      <c r="D213" s="60" t="s">
        <v>108</v>
      </c>
      <c r="E213" s="61">
        <v>4050</v>
      </c>
      <c r="F213" s="60"/>
      <c r="G213" s="60" t="s">
        <v>783</v>
      </c>
      <c r="H213" s="76" t="s">
        <v>419</v>
      </c>
      <c r="I213" s="60" t="s">
        <v>785</v>
      </c>
      <c r="J213" s="91">
        <f>E213/(Total!C7*10^6)*100</f>
        <v>5.45822102425876E-3</v>
      </c>
      <c r="K213" s="18">
        <v>2016</v>
      </c>
      <c r="L213" s="63" t="s">
        <v>146</v>
      </c>
      <c r="M213" s="18"/>
      <c r="N213" s="18"/>
    </row>
    <row r="214" spans="1:15" ht="142.5">
      <c r="A214" s="52">
        <v>206</v>
      </c>
      <c r="B214" s="60" t="s">
        <v>786</v>
      </c>
      <c r="C214" s="60" t="s">
        <v>787</v>
      </c>
      <c r="D214" s="60" t="s">
        <v>520</v>
      </c>
      <c r="E214" s="61">
        <v>3968</v>
      </c>
      <c r="F214" s="60"/>
      <c r="G214" s="60" t="s">
        <v>788</v>
      </c>
      <c r="H214" s="60" t="s">
        <v>165</v>
      </c>
      <c r="I214" s="60" t="s">
        <v>789</v>
      </c>
      <c r="J214" s="91">
        <f>E214/(Total!C7*10^6)*100</f>
        <v>5.3477088948787064E-3</v>
      </c>
      <c r="K214" s="18">
        <v>2017</v>
      </c>
      <c r="L214" s="70" t="s">
        <v>195</v>
      </c>
      <c r="M214" s="18"/>
      <c r="N214" s="18"/>
    </row>
    <row r="215" spans="1:15" s="90" customFormat="1" ht="142.5">
      <c r="A215" s="52">
        <v>207</v>
      </c>
      <c r="B215" s="60" t="s">
        <v>790</v>
      </c>
      <c r="C215" s="60" t="s">
        <v>477</v>
      </c>
      <c r="D215" s="60" t="s">
        <v>129</v>
      </c>
      <c r="E215" s="61">
        <v>3787</v>
      </c>
      <c r="F215" s="68"/>
      <c r="G215" s="60" t="s">
        <v>619</v>
      </c>
      <c r="H215" s="76" t="s">
        <v>419</v>
      </c>
      <c r="I215" s="60"/>
      <c r="J215" s="91">
        <f>E215/(Total!C7*10^6)*100</f>
        <v>5.1037735849056602E-3</v>
      </c>
      <c r="K215" s="18">
        <v>2018</v>
      </c>
      <c r="L215" s="63" t="s">
        <v>195</v>
      </c>
      <c r="M215" s="88"/>
      <c r="N215" s="88"/>
      <c r="O215" s="89"/>
    </row>
    <row r="216" spans="1:15" ht="142.5">
      <c r="A216" s="52">
        <v>208</v>
      </c>
      <c r="B216" s="60" t="s">
        <v>791</v>
      </c>
      <c r="C216" s="60" t="s">
        <v>483</v>
      </c>
      <c r="D216" s="60" t="s">
        <v>484</v>
      </c>
      <c r="E216" s="61">
        <f>0.1*298+3642+0.6*25</f>
        <v>3686.8</v>
      </c>
      <c r="F216" s="60" t="s">
        <v>792</v>
      </c>
      <c r="G216" s="60" t="s">
        <v>218</v>
      </c>
      <c r="H216" s="60" t="s">
        <v>219</v>
      </c>
      <c r="I216" s="60"/>
      <c r="J216" s="91">
        <f>E216/(Total!C7*10^6)*100</f>
        <v>4.9687331536388138E-3</v>
      </c>
      <c r="K216" s="18">
        <v>2017</v>
      </c>
      <c r="L216" s="18" t="s">
        <v>220</v>
      </c>
      <c r="M216" s="18"/>
      <c r="N216" s="18"/>
    </row>
    <row r="217" spans="1:15" ht="128.25">
      <c r="A217" s="52">
        <v>209</v>
      </c>
      <c r="B217" s="60" t="s">
        <v>793</v>
      </c>
      <c r="C217" s="60" t="s">
        <v>794</v>
      </c>
      <c r="D217" s="60" t="s">
        <v>473</v>
      </c>
      <c r="E217" s="61">
        <f>0.1*298+3536+0.38*25</f>
        <v>3575.3</v>
      </c>
      <c r="F217" s="60" t="s">
        <v>795</v>
      </c>
      <c r="G217" s="60" t="s">
        <v>796</v>
      </c>
      <c r="H217" s="60" t="s">
        <v>219</v>
      </c>
      <c r="I217" s="60"/>
      <c r="J217" s="91">
        <f>E217/(Total!C7*10^6)*100</f>
        <v>4.8184636118598391E-3</v>
      </c>
      <c r="K217" s="18">
        <v>2017</v>
      </c>
      <c r="L217" s="18" t="s">
        <v>797</v>
      </c>
      <c r="M217" s="18"/>
      <c r="N217" s="18"/>
    </row>
    <row r="218" spans="1:15" ht="128.25">
      <c r="A218" s="52">
        <v>210</v>
      </c>
      <c r="B218" s="60" t="s">
        <v>798</v>
      </c>
      <c r="C218" s="60" t="s">
        <v>799</v>
      </c>
      <c r="D218" s="94" t="s">
        <v>375</v>
      </c>
      <c r="E218" s="61">
        <f>140*25</f>
        <v>3500</v>
      </c>
      <c r="F218" s="60" t="s">
        <v>800</v>
      </c>
      <c r="G218" s="60" t="s">
        <v>801</v>
      </c>
      <c r="H218" s="60" t="s">
        <v>118</v>
      </c>
      <c r="I218" s="60" t="s">
        <v>696</v>
      </c>
      <c r="J218" s="91">
        <f>E218/(Total!C7*10^6)*100</f>
        <v>4.7169811320754715E-3</v>
      </c>
      <c r="K218" s="18">
        <v>2017</v>
      </c>
      <c r="L218" s="63" t="s">
        <v>802</v>
      </c>
      <c r="M218" s="18"/>
      <c r="N218" s="18"/>
    </row>
    <row r="219" spans="1:15" ht="128.25">
      <c r="A219" s="52">
        <v>211</v>
      </c>
      <c r="B219" s="68" t="s">
        <v>803</v>
      </c>
      <c r="C219" s="68" t="s">
        <v>804</v>
      </c>
      <c r="D219" s="60" t="s">
        <v>85</v>
      </c>
      <c r="E219" s="69">
        <f>137*25</f>
        <v>3425</v>
      </c>
      <c r="F219" s="68" t="s">
        <v>805</v>
      </c>
      <c r="G219" s="60" t="s">
        <v>803</v>
      </c>
      <c r="H219" s="60" t="s">
        <v>118</v>
      </c>
      <c r="I219" s="60" t="s">
        <v>806</v>
      </c>
      <c r="J219" s="91">
        <f>E219/(Total!C7*10^6)*100</f>
        <v>4.6159029649595687E-3</v>
      </c>
      <c r="K219" s="18">
        <v>2017</v>
      </c>
      <c r="L219" s="63" t="s">
        <v>807</v>
      </c>
      <c r="M219" s="18"/>
      <c r="N219" s="18"/>
    </row>
    <row r="220" spans="1:15" ht="142.5">
      <c r="A220" s="52">
        <v>212</v>
      </c>
      <c r="B220" s="60" t="s">
        <v>808</v>
      </c>
      <c r="C220" s="68" t="s">
        <v>809</v>
      </c>
      <c r="D220" s="95" t="s">
        <v>129</v>
      </c>
      <c r="E220" s="61">
        <v>3364</v>
      </c>
      <c r="F220" s="60"/>
      <c r="G220" s="60" t="s">
        <v>808</v>
      </c>
      <c r="H220" s="60" t="s">
        <v>103</v>
      </c>
      <c r="I220" s="60" t="s">
        <v>264</v>
      </c>
      <c r="J220" s="91">
        <f>E220/(Total!C7*10^6)*100</f>
        <v>4.5336927223719676E-3</v>
      </c>
      <c r="K220" s="18">
        <v>2018</v>
      </c>
      <c r="L220" s="63" t="s">
        <v>195</v>
      </c>
      <c r="M220" s="18"/>
      <c r="N220" s="18"/>
    </row>
    <row r="221" spans="1:15" ht="142.5">
      <c r="A221" s="52">
        <v>213</v>
      </c>
      <c r="B221" s="68" t="s">
        <v>810</v>
      </c>
      <c r="C221" s="68" t="s">
        <v>811</v>
      </c>
      <c r="D221" s="96" t="s">
        <v>129</v>
      </c>
      <c r="E221" s="69">
        <v>3338</v>
      </c>
      <c r="F221" s="68"/>
      <c r="G221" s="60" t="s">
        <v>810</v>
      </c>
      <c r="H221" s="76" t="s">
        <v>419</v>
      </c>
      <c r="I221" s="60"/>
      <c r="J221" s="91">
        <f>E221/(Total!C7*10^6)*100</f>
        <v>4.4986522911051206E-3</v>
      </c>
      <c r="K221" s="18">
        <v>2018</v>
      </c>
      <c r="L221" s="63" t="s">
        <v>195</v>
      </c>
      <c r="M221" s="18"/>
      <c r="N221" s="18"/>
    </row>
    <row r="222" spans="1:15" ht="142.5">
      <c r="A222" s="52">
        <v>214</v>
      </c>
      <c r="B222" s="60" t="s">
        <v>812</v>
      </c>
      <c r="C222" s="68" t="s">
        <v>813</v>
      </c>
      <c r="D222" s="60" t="s">
        <v>814</v>
      </c>
      <c r="E222" s="61">
        <f>0.1*298+3274+0.5*25</f>
        <v>3316.3</v>
      </c>
      <c r="F222" s="60" t="s">
        <v>815</v>
      </c>
      <c r="G222" s="60" t="s">
        <v>218</v>
      </c>
      <c r="H222" s="60" t="s">
        <v>219</v>
      </c>
      <c r="I222" s="60"/>
      <c r="J222" s="91">
        <f>E222/(Total!C7*10^6)*100</f>
        <v>4.4694070080862538E-3</v>
      </c>
      <c r="K222" s="18">
        <v>2017</v>
      </c>
      <c r="L222" s="18" t="s">
        <v>220</v>
      </c>
      <c r="M222" s="18"/>
      <c r="N222" s="18"/>
    </row>
    <row r="223" spans="1:15" ht="142.5">
      <c r="A223" s="52">
        <v>215</v>
      </c>
      <c r="B223" s="60" t="s">
        <v>816</v>
      </c>
      <c r="C223" s="68" t="s">
        <v>309</v>
      </c>
      <c r="D223" s="60" t="s">
        <v>227</v>
      </c>
      <c r="E223" s="61">
        <f>0.09*298+3262+0.3*25</f>
        <v>3296.32</v>
      </c>
      <c r="F223" s="68" t="s">
        <v>817</v>
      </c>
      <c r="G223" s="60" t="s">
        <v>443</v>
      </c>
      <c r="H223" s="60" t="s">
        <v>334</v>
      </c>
      <c r="I223" s="60"/>
      <c r="J223" s="91">
        <f>E223/(Total!C7*10^6)*100</f>
        <v>4.4424797843665769E-3</v>
      </c>
      <c r="K223" s="18">
        <v>2017</v>
      </c>
      <c r="L223" s="18" t="s">
        <v>220</v>
      </c>
      <c r="M223" s="18"/>
      <c r="N223" s="18"/>
    </row>
    <row r="224" spans="1:15" ht="142.5">
      <c r="A224" s="52">
        <v>216</v>
      </c>
      <c r="B224" s="60" t="s">
        <v>818</v>
      </c>
      <c r="C224" s="68" t="s">
        <v>819</v>
      </c>
      <c r="D224" s="60" t="s">
        <v>129</v>
      </c>
      <c r="E224" s="61">
        <v>3223</v>
      </c>
      <c r="F224" s="60"/>
      <c r="G224" s="60" t="s">
        <v>820</v>
      </c>
      <c r="H224" s="60" t="s">
        <v>165</v>
      </c>
      <c r="I224" s="60" t="s">
        <v>780</v>
      </c>
      <c r="J224" s="91">
        <f>E224/(Total!C7*10^6)*100</f>
        <v>4.34366576819407E-3</v>
      </c>
      <c r="K224" s="18">
        <v>2018</v>
      </c>
      <c r="L224" s="63" t="s">
        <v>195</v>
      </c>
      <c r="M224" s="18"/>
      <c r="N224" s="18"/>
    </row>
    <row r="225" spans="1:14" ht="270.75">
      <c r="A225" s="52">
        <v>217</v>
      </c>
      <c r="B225" s="60" t="s">
        <v>821</v>
      </c>
      <c r="C225" s="60" t="s">
        <v>822</v>
      </c>
      <c r="D225" s="60" t="s">
        <v>123</v>
      </c>
      <c r="E225" s="61">
        <v>3219</v>
      </c>
      <c r="F225" s="60"/>
      <c r="G225" s="60" t="s">
        <v>823</v>
      </c>
      <c r="H225" s="60" t="s">
        <v>103</v>
      </c>
      <c r="I225" s="60" t="s">
        <v>255</v>
      </c>
      <c r="J225" s="91">
        <f>E225/(Total!C7*10^6)*100</f>
        <v>4.3382749326145555E-3</v>
      </c>
      <c r="K225" s="18">
        <v>2018</v>
      </c>
      <c r="L225" s="63" t="s">
        <v>146</v>
      </c>
      <c r="M225" s="18"/>
      <c r="N225" s="18"/>
    </row>
    <row r="226" spans="1:14" ht="128.25">
      <c r="A226" s="52">
        <v>218</v>
      </c>
      <c r="B226" s="68" t="s">
        <v>824</v>
      </c>
      <c r="C226" s="68" t="s">
        <v>825</v>
      </c>
      <c r="D226" s="60" t="s">
        <v>85</v>
      </c>
      <c r="E226" s="69">
        <f>124*25</f>
        <v>3100</v>
      </c>
      <c r="F226" s="68" t="s">
        <v>826</v>
      </c>
      <c r="G226" s="68" t="s">
        <v>827</v>
      </c>
      <c r="H226" s="60" t="s">
        <v>118</v>
      </c>
      <c r="I226" s="60" t="s">
        <v>828</v>
      </c>
      <c r="J226" s="91">
        <f>E226/(Total!C7*10^6)*100</f>
        <v>4.1778975741239895E-3</v>
      </c>
      <c r="K226" s="18">
        <v>2017</v>
      </c>
      <c r="L226" s="63" t="s">
        <v>829</v>
      </c>
      <c r="M226" s="18"/>
      <c r="N226" s="18"/>
    </row>
    <row r="227" spans="1:14" ht="128.25">
      <c r="A227" s="52">
        <v>219</v>
      </c>
      <c r="B227" s="68" t="s">
        <v>830</v>
      </c>
      <c r="C227" s="68" t="s">
        <v>831</v>
      </c>
      <c r="D227" s="60" t="s">
        <v>108</v>
      </c>
      <c r="E227" s="69">
        <f>116*25</f>
        <v>2900</v>
      </c>
      <c r="F227" s="68" t="s">
        <v>832</v>
      </c>
      <c r="G227" s="68" t="s">
        <v>827</v>
      </c>
      <c r="H227" s="60" t="s">
        <v>118</v>
      </c>
      <c r="I227" s="60" t="s">
        <v>696</v>
      </c>
      <c r="J227" s="91">
        <f>E227/(Total!C7*10^6)*100</f>
        <v>3.9083557951482481E-3</v>
      </c>
      <c r="K227" s="18">
        <v>2017</v>
      </c>
      <c r="L227" s="63" t="s">
        <v>833</v>
      </c>
      <c r="M227" s="18"/>
      <c r="N227" s="18"/>
    </row>
    <row r="228" spans="1:14" ht="142.5">
      <c r="A228" s="52">
        <v>220</v>
      </c>
      <c r="B228" s="60" t="s">
        <v>834</v>
      </c>
      <c r="C228" s="60" t="s">
        <v>835</v>
      </c>
      <c r="D228" s="60" t="s">
        <v>129</v>
      </c>
      <c r="E228" s="61">
        <v>2873</v>
      </c>
      <c r="F228" s="60"/>
      <c r="G228" s="60" t="s">
        <v>836</v>
      </c>
      <c r="H228" s="60" t="s">
        <v>103</v>
      </c>
      <c r="I228" s="60" t="s">
        <v>255</v>
      </c>
      <c r="J228" s="91">
        <f>E228/(Total!C7*10^6)*100</f>
        <v>3.8719676549865229E-3</v>
      </c>
      <c r="K228" s="18">
        <v>2018</v>
      </c>
      <c r="L228" s="63" t="s">
        <v>195</v>
      </c>
      <c r="M228" s="18"/>
      <c r="N228" s="18"/>
    </row>
    <row r="229" spans="1:14" ht="128.25">
      <c r="A229" s="52">
        <v>221</v>
      </c>
      <c r="B229" s="68" t="s">
        <v>837</v>
      </c>
      <c r="C229" s="68" t="s">
        <v>838</v>
      </c>
      <c r="D229" s="60" t="s">
        <v>85</v>
      </c>
      <c r="E229" s="69">
        <f>113*25</f>
        <v>2825</v>
      </c>
      <c r="F229" s="68" t="s">
        <v>839</v>
      </c>
      <c r="G229" s="68" t="s">
        <v>837</v>
      </c>
      <c r="H229" s="60" t="s">
        <v>118</v>
      </c>
      <c r="I229" s="60" t="s">
        <v>828</v>
      </c>
      <c r="J229" s="91">
        <f>E229/(Total!C7*10^6)*100</f>
        <v>3.8072776280323453E-3</v>
      </c>
      <c r="K229" s="18">
        <v>2017</v>
      </c>
      <c r="L229" s="63" t="s">
        <v>840</v>
      </c>
      <c r="M229" s="18"/>
      <c r="N229" s="18"/>
    </row>
    <row r="230" spans="1:14" ht="128.25">
      <c r="A230" s="52">
        <v>222</v>
      </c>
      <c r="B230" s="60" t="s">
        <v>841</v>
      </c>
      <c r="C230" s="60" t="s">
        <v>842</v>
      </c>
      <c r="D230" s="60" t="s">
        <v>203</v>
      </c>
      <c r="E230" s="61">
        <f>111*25</f>
        <v>2775</v>
      </c>
      <c r="F230" s="68" t="s">
        <v>843</v>
      </c>
      <c r="G230" s="60" t="s">
        <v>844</v>
      </c>
      <c r="H230" s="60" t="s">
        <v>118</v>
      </c>
      <c r="I230" s="60" t="s">
        <v>845</v>
      </c>
      <c r="J230" s="91">
        <f>E230/(Total!C7*10^6)*100</f>
        <v>3.7398921832884099E-3</v>
      </c>
      <c r="K230" s="18">
        <v>2017</v>
      </c>
      <c r="L230" s="63" t="s">
        <v>846</v>
      </c>
      <c r="M230" s="18"/>
      <c r="N230" s="18"/>
    </row>
    <row r="231" spans="1:14" ht="142.5">
      <c r="A231" s="52">
        <v>223</v>
      </c>
      <c r="B231" s="60" t="s">
        <v>847</v>
      </c>
      <c r="C231" s="60" t="s">
        <v>848</v>
      </c>
      <c r="D231" s="60" t="s">
        <v>129</v>
      </c>
      <c r="E231" s="61">
        <v>2735</v>
      </c>
      <c r="F231" s="60"/>
      <c r="G231" s="60" t="s">
        <v>849</v>
      </c>
      <c r="H231" s="76" t="s">
        <v>419</v>
      </c>
      <c r="I231" s="60"/>
      <c r="J231" s="91">
        <f>E231/(Total!C7*10^6)*100</f>
        <v>3.6859838274932617E-3</v>
      </c>
      <c r="K231" s="18">
        <v>2016</v>
      </c>
      <c r="L231" s="63" t="s">
        <v>195</v>
      </c>
      <c r="M231" s="18"/>
      <c r="N231" s="18"/>
    </row>
    <row r="232" spans="1:14" ht="128.25">
      <c r="A232" s="52">
        <v>224</v>
      </c>
      <c r="B232" s="60" t="s">
        <v>850</v>
      </c>
      <c r="C232" s="60" t="s">
        <v>851</v>
      </c>
      <c r="D232" s="60" t="s">
        <v>852</v>
      </c>
      <c r="E232" s="61">
        <f>0.07*298+2627+0.28*25</f>
        <v>2654.86</v>
      </c>
      <c r="F232" s="60" t="s">
        <v>853</v>
      </c>
      <c r="G232" s="60" t="s">
        <v>796</v>
      </c>
      <c r="H232" s="60" t="s">
        <v>219</v>
      </c>
      <c r="I232" s="60"/>
      <c r="J232" s="91">
        <f>E232/(Total!C7*10^6)*100</f>
        <v>3.5779784366576821E-3</v>
      </c>
      <c r="K232" s="18">
        <v>2017</v>
      </c>
      <c r="L232" s="18" t="s">
        <v>797</v>
      </c>
      <c r="M232" s="18"/>
      <c r="N232" s="18"/>
    </row>
    <row r="233" spans="1:14" ht="128.25">
      <c r="A233" s="52">
        <v>225</v>
      </c>
      <c r="B233" s="60" t="s">
        <v>854</v>
      </c>
      <c r="C233" s="60" t="s">
        <v>855</v>
      </c>
      <c r="D233" s="60" t="s">
        <v>375</v>
      </c>
      <c r="E233" s="61">
        <f>105*25</f>
        <v>2625</v>
      </c>
      <c r="F233" s="60" t="s">
        <v>856</v>
      </c>
      <c r="G233" s="60" t="s">
        <v>857</v>
      </c>
      <c r="H233" s="60" t="s">
        <v>118</v>
      </c>
      <c r="I233" s="60" t="s">
        <v>696</v>
      </c>
      <c r="J233" s="91">
        <f>E233/(Total!C7*10^6)*100</f>
        <v>3.5377358490566039E-3</v>
      </c>
      <c r="K233" s="18">
        <v>2017</v>
      </c>
      <c r="L233" s="63" t="s">
        <v>858</v>
      </c>
      <c r="M233" s="18"/>
      <c r="N233" s="18"/>
    </row>
    <row r="234" spans="1:14" ht="128.25">
      <c r="A234" s="52">
        <v>226</v>
      </c>
      <c r="B234" s="68" t="s">
        <v>859</v>
      </c>
      <c r="C234" s="68" t="s">
        <v>860</v>
      </c>
      <c r="D234" s="60" t="s">
        <v>85</v>
      </c>
      <c r="E234" s="69">
        <f>104*25</f>
        <v>2600</v>
      </c>
      <c r="F234" s="68" t="s">
        <v>861</v>
      </c>
      <c r="G234" s="68" t="s">
        <v>862</v>
      </c>
      <c r="H234" s="60" t="s">
        <v>118</v>
      </c>
      <c r="I234" s="60" t="s">
        <v>702</v>
      </c>
      <c r="J234" s="91">
        <f>E234/(Total!C7*10^6)*100</f>
        <v>3.504043126684636E-3</v>
      </c>
      <c r="K234" s="18">
        <v>2017</v>
      </c>
      <c r="L234" s="63" t="s">
        <v>863</v>
      </c>
      <c r="M234" s="18"/>
      <c r="N234" s="18"/>
    </row>
    <row r="235" spans="1:14" ht="142.5">
      <c r="A235" s="52">
        <v>227</v>
      </c>
      <c r="B235" s="68" t="s">
        <v>864</v>
      </c>
      <c r="C235" s="68" t="s">
        <v>865</v>
      </c>
      <c r="D235" s="60" t="s">
        <v>513</v>
      </c>
      <c r="E235" s="69">
        <v>2585</v>
      </c>
      <c r="F235" s="68"/>
      <c r="G235" s="68" t="s">
        <v>866</v>
      </c>
      <c r="H235" s="76" t="s">
        <v>419</v>
      </c>
      <c r="I235" s="60"/>
      <c r="J235" s="91">
        <f>E235/(Total!C7*10^6)*100</f>
        <v>3.4838274932614557E-3</v>
      </c>
      <c r="K235" s="18">
        <v>2018</v>
      </c>
      <c r="L235" s="63" t="s">
        <v>195</v>
      </c>
      <c r="M235" s="18"/>
      <c r="N235" s="18"/>
    </row>
    <row r="236" spans="1:14" ht="128.25">
      <c r="A236" s="52">
        <v>228</v>
      </c>
      <c r="B236" s="60" t="s">
        <v>867</v>
      </c>
      <c r="C236" s="60" t="s">
        <v>868</v>
      </c>
      <c r="D236" s="60" t="s">
        <v>869</v>
      </c>
      <c r="E236" s="61">
        <f>0.07*298+2549+0.27*25</f>
        <v>2576.61</v>
      </c>
      <c r="F236" s="60" t="s">
        <v>870</v>
      </c>
      <c r="G236" s="60" t="s">
        <v>796</v>
      </c>
      <c r="H236" s="60" t="s">
        <v>219</v>
      </c>
      <c r="I236" s="60"/>
      <c r="J236" s="91">
        <f>E236/(Total!C7*10^6)*100</f>
        <v>3.4725202156334232E-3</v>
      </c>
      <c r="K236" s="18">
        <v>2017</v>
      </c>
      <c r="L236" s="18" t="s">
        <v>797</v>
      </c>
      <c r="M236" s="18"/>
      <c r="N236" s="18"/>
    </row>
    <row r="237" spans="1:14" ht="128.25">
      <c r="A237" s="52">
        <v>229</v>
      </c>
      <c r="B237" s="68" t="s">
        <v>871</v>
      </c>
      <c r="C237" s="68" t="s">
        <v>872</v>
      </c>
      <c r="D237" s="60" t="s">
        <v>203</v>
      </c>
      <c r="E237" s="69">
        <f>100*25</f>
        <v>2500</v>
      </c>
      <c r="F237" s="68" t="s">
        <v>873</v>
      </c>
      <c r="G237" s="68" t="s">
        <v>874</v>
      </c>
      <c r="H237" s="60" t="s">
        <v>118</v>
      </c>
      <c r="I237" s="60" t="s">
        <v>875</v>
      </c>
      <c r="J237" s="91">
        <f>E237/(Total!C7*10^6)*100</f>
        <v>3.3692722371967657E-3</v>
      </c>
      <c r="K237" s="18">
        <v>2017</v>
      </c>
      <c r="L237" s="63" t="s">
        <v>876</v>
      </c>
      <c r="M237" s="18"/>
      <c r="N237" s="18"/>
    </row>
    <row r="238" spans="1:14" ht="142.5">
      <c r="A238" s="52">
        <v>230</v>
      </c>
      <c r="B238" s="60" t="s">
        <v>877</v>
      </c>
      <c r="C238" s="60" t="s">
        <v>878</v>
      </c>
      <c r="D238" s="60" t="s">
        <v>129</v>
      </c>
      <c r="E238" s="61">
        <v>2432</v>
      </c>
      <c r="F238" s="60"/>
      <c r="G238" s="60" t="s">
        <v>877</v>
      </c>
      <c r="H238" s="60" t="s">
        <v>103</v>
      </c>
      <c r="I238" s="60" t="s">
        <v>264</v>
      </c>
      <c r="J238" s="91">
        <f>E238/(Total!C7*10^6)*100</f>
        <v>3.2776280323450133E-3</v>
      </c>
      <c r="K238" s="18">
        <v>2018</v>
      </c>
      <c r="L238" s="63" t="s">
        <v>195</v>
      </c>
      <c r="M238" s="18"/>
      <c r="N238" s="18"/>
    </row>
    <row r="239" spans="1:14" ht="270.75">
      <c r="A239" s="52">
        <v>231</v>
      </c>
      <c r="B239" s="60" t="s">
        <v>879</v>
      </c>
      <c r="C239" s="60" t="s">
        <v>360</v>
      </c>
      <c r="D239" s="60" t="s">
        <v>85</v>
      </c>
      <c r="E239" s="61">
        <v>2120</v>
      </c>
      <c r="F239" s="60"/>
      <c r="G239" s="60" t="s">
        <v>879</v>
      </c>
      <c r="H239" s="76" t="s">
        <v>419</v>
      </c>
      <c r="I239" s="60"/>
      <c r="J239" s="91">
        <f>E239/(Total!C7*10^6)*100</f>
        <v>2.8571428571428571E-3</v>
      </c>
      <c r="K239" s="18">
        <v>2018</v>
      </c>
      <c r="L239" s="63" t="s">
        <v>146</v>
      </c>
      <c r="M239" s="18"/>
      <c r="N239" s="18"/>
    </row>
    <row r="240" spans="1:14" ht="142.5">
      <c r="A240" s="52">
        <v>232</v>
      </c>
      <c r="B240" s="60" t="s">
        <v>880</v>
      </c>
      <c r="D240" s="60" t="s">
        <v>214</v>
      </c>
      <c r="E240" s="61">
        <f>0.05*298+1969+0.2*25</f>
        <v>1988.9</v>
      </c>
      <c r="F240" s="68" t="s">
        <v>881</v>
      </c>
      <c r="G240" s="60" t="s">
        <v>333</v>
      </c>
      <c r="H240" s="60" t="s">
        <v>334</v>
      </c>
      <c r="I240" s="60"/>
      <c r="J240" s="91">
        <f>E240/(Total!C7*10^6)*100</f>
        <v>2.6804582210242589E-3</v>
      </c>
      <c r="K240" s="18">
        <v>2017</v>
      </c>
      <c r="L240" s="18" t="s">
        <v>220</v>
      </c>
      <c r="M240" s="18"/>
      <c r="N240" s="18"/>
    </row>
    <row r="241" spans="1:14" ht="142.5">
      <c r="A241" s="52">
        <v>233</v>
      </c>
      <c r="B241" s="60" t="s">
        <v>882</v>
      </c>
      <c r="C241" s="60" t="s">
        <v>347</v>
      </c>
      <c r="D241" s="60" t="s">
        <v>273</v>
      </c>
      <c r="E241" s="61">
        <v>1619</v>
      </c>
      <c r="F241" s="60"/>
      <c r="G241" s="60" t="s">
        <v>883</v>
      </c>
      <c r="H241" s="60" t="s">
        <v>428</v>
      </c>
      <c r="I241" s="60" t="s">
        <v>503</v>
      </c>
      <c r="J241" s="91">
        <f>E241/(Total!C7*10^6)*100</f>
        <v>2.1819407008086254E-3</v>
      </c>
      <c r="K241" s="18">
        <v>2017</v>
      </c>
      <c r="L241" s="70" t="s">
        <v>195</v>
      </c>
      <c r="M241" s="18"/>
      <c r="N241" s="18"/>
    </row>
    <row r="242" spans="1:14" ht="142.5">
      <c r="A242" s="52">
        <v>234</v>
      </c>
      <c r="B242" s="60" t="s">
        <v>884</v>
      </c>
      <c r="C242" s="60" t="s">
        <v>885</v>
      </c>
      <c r="D242" s="60" t="s">
        <v>129</v>
      </c>
      <c r="E242" s="61">
        <v>1592</v>
      </c>
      <c r="F242" s="60"/>
      <c r="G242" s="60" t="s">
        <v>886</v>
      </c>
      <c r="H242" s="60" t="s">
        <v>103</v>
      </c>
      <c r="I242" s="60" t="s">
        <v>255</v>
      </c>
      <c r="J242" s="91">
        <f>E242/(Total!C7*10^6)*100</f>
        <v>2.1455525606469002E-3</v>
      </c>
      <c r="K242" s="1">
        <v>2018</v>
      </c>
      <c r="L242" s="70" t="s">
        <v>195</v>
      </c>
      <c r="M242" s="18"/>
      <c r="N242" s="18"/>
    </row>
    <row r="243" spans="1:14" ht="142.5">
      <c r="A243" s="52">
        <v>235</v>
      </c>
      <c r="B243" s="60" t="s">
        <v>887</v>
      </c>
      <c r="C243" s="60" t="s">
        <v>819</v>
      </c>
      <c r="D243" s="60" t="s">
        <v>129</v>
      </c>
      <c r="E243" s="61">
        <v>1506</v>
      </c>
      <c r="F243" s="60"/>
      <c r="G243" s="60" t="s">
        <v>888</v>
      </c>
      <c r="H243" s="60" t="s">
        <v>428</v>
      </c>
      <c r="I243" s="60" t="s">
        <v>503</v>
      </c>
      <c r="J243" s="91">
        <f>E243/(Total!C7*10^6)*100</f>
        <v>2.0296495956873316E-3</v>
      </c>
      <c r="K243" s="1">
        <v>2018</v>
      </c>
      <c r="L243" s="70" t="s">
        <v>195</v>
      </c>
      <c r="M243" s="18"/>
      <c r="N243" s="18"/>
    </row>
    <row r="244" spans="1:14" ht="102">
      <c r="A244" s="52">
        <v>236</v>
      </c>
      <c r="B244" s="60" t="s">
        <v>889</v>
      </c>
      <c r="C244" s="60" t="s">
        <v>890</v>
      </c>
      <c r="D244" s="60" t="s">
        <v>891</v>
      </c>
      <c r="E244" s="61">
        <f>0.04*298+1379+0.15*25</f>
        <v>1394.67</v>
      </c>
      <c r="F244" s="60" t="s">
        <v>892</v>
      </c>
      <c r="G244" s="60" t="s">
        <v>796</v>
      </c>
      <c r="H244" s="60" t="s">
        <v>219</v>
      </c>
      <c r="I244" s="60"/>
      <c r="J244" s="91">
        <f>E244/(Total!C7*10^6)*100</f>
        <v>1.8796091644204854E-3</v>
      </c>
      <c r="K244" s="1">
        <v>2017</v>
      </c>
      <c r="L244" s="72" t="s">
        <v>797</v>
      </c>
      <c r="M244" s="18"/>
      <c r="N244" s="18"/>
    </row>
    <row r="245" spans="1:14" ht="142.5">
      <c r="A245" s="52">
        <v>237</v>
      </c>
      <c r="B245" s="60" t="s">
        <v>893</v>
      </c>
      <c r="C245" s="60" t="s">
        <v>894</v>
      </c>
      <c r="D245" s="60" t="s">
        <v>203</v>
      </c>
      <c r="E245" s="61">
        <v>1304</v>
      </c>
      <c r="F245" s="68"/>
      <c r="G245" s="60" t="s">
        <v>893</v>
      </c>
      <c r="H245" s="76" t="s">
        <v>419</v>
      </c>
      <c r="I245" s="60"/>
      <c r="J245" s="91">
        <f>E245/(Total!C7*10^6)*100</f>
        <v>1.7574123989218329E-3</v>
      </c>
      <c r="K245" s="1">
        <v>2018</v>
      </c>
      <c r="L245" s="63" t="s">
        <v>195</v>
      </c>
      <c r="M245" s="18"/>
      <c r="N245" s="18"/>
    </row>
    <row r="246" spans="1:14" ht="142.5">
      <c r="A246" s="52">
        <v>238</v>
      </c>
      <c r="B246" s="60" t="s">
        <v>895</v>
      </c>
      <c r="C246" s="60" t="s">
        <v>896</v>
      </c>
      <c r="D246" s="60" t="s">
        <v>116</v>
      </c>
      <c r="E246" s="61">
        <v>1010</v>
      </c>
      <c r="F246" s="60"/>
      <c r="G246" s="60" t="s">
        <v>897</v>
      </c>
      <c r="H246" s="60" t="s">
        <v>125</v>
      </c>
      <c r="I246" s="60" t="s">
        <v>503</v>
      </c>
      <c r="J246" s="91">
        <f>E246/(Total!C7*10^6)*100</f>
        <v>1.3611859838274932E-3</v>
      </c>
      <c r="K246" s="1">
        <v>2018</v>
      </c>
      <c r="L246" s="70" t="s">
        <v>195</v>
      </c>
      <c r="M246" s="18"/>
      <c r="N246" s="18"/>
    </row>
    <row r="247" spans="1:14" ht="142.5">
      <c r="A247" s="52">
        <v>239</v>
      </c>
      <c r="B247" s="60" t="s">
        <v>898</v>
      </c>
      <c r="C247" s="60" t="s">
        <v>899</v>
      </c>
      <c r="D247" s="60" t="s">
        <v>116</v>
      </c>
      <c r="E247" s="61">
        <v>989</v>
      </c>
      <c r="F247" s="60"/>
      <c r="G247" s="60" t="s">
        <v>900</v>
      </c>
      <c r="H247" s="76" t="s">
        <v>419</v>
      </c>
      <c r="I247" s="60"/>
      <c r="J247" s="91">
        <f>E247/(Total!C7*10^6)*100</f>
        <v>1.3328840970350403E-3</v>
      </c>
      <c r="K247" s="1">
        <v>2018</v>
      </c>
      <c r="L247" s="63" t="s">
        <v>195</v>
      </c>
      <c r="M247" s="18"/>
      <c r="N247" s="18"/>
    </row>
    <row r="248" spans="1:14" ht="142.5">
      <c r="A248" s="52">
        <v>240</v>
      </c>
      <c r="B248" s="68" t="s">
        <v>901</v>
      </c>
      <c r="C248" s="68" t="s">
        <v>902</v>
      </c>
      <c r="D248" s="68" t="s">
        <v>77</v>
      </c>
      <c r="E248" s="69">
        <v>825</v>
      </c>
      <c r="F248" s="68"/>
      <c r="G248" s="68" t="s">
        <v>903</v>
      </c>
      <c r="H248" s="76" t="s">
        <v>419</v>
      </c>
      <c r="I248" s="60"/>
      <c r="J248" s="91">
        <f>E248/(Total!C7*10^6)*100</f>
        <v>1.1118598382749327E-3</v>
      </c>
      <c r="K248" s="1">
        <v>2018</v>
      </c>
      <c r="L248" s="63" t="s">
        <v>92</v>
      </c>
      <c r="M248" s="18"/>
      <c r="N248" s="18"/>
    </row>
    <row r="249" spans="1:14" ht="142.5">
      <c r="A249" s="52">
        <v>241</v>
      </c>
      <c r="B249" s="68" t="s">
        <v>904</v>
      </c>
      <c r="C249" s="68" t="s">
        <v>610</v>
      </c>
      <c r="D249" s="68" t="s">
        <v>129</v>
      </c>
      <c r="E249" s="69">
        <v>785</v>
      </c>
      <c r="F249" s="68"/>
      <c r="G249" s="68" t="s">
        <v>905</v>
      </c>
      <c r="H249" s="76" t="s">
        <v>419</v>
      </c>
      <c r="I249" s="60"/>
      <c r="J249" s="91">
        <f>E249/(Total!C7*10^6)*100</f>
        <v>1.0579514824797843E-3</v>
      </c>
      <c r="K249" s="18">
        <v>2018</v>
      </c>
      <c r="L249" s="63" t="s">
        <v>195</v>
      </c>
      <c r="M249" s="18"/>
      <c r="N249" s="18"/>
    </row>
    <row r="250" spans="1:14" ht="142.5">
      <c r="A250" s="52">
        <v>242</v>
      </c>
      <c r="B250" s="68" t="s">
        <v>906</v>
      </c>
      <c r="C250" s="68" t="s">
        <v>907</v>
      </c>
      <c r="D250" s="60" t="s">
        <v>203</v>
      </c>
      <c r="E250" s="69">
        <v>613</v>
      </c>
      <c r="F250" s="68"/>
      <c r="G250" s="68" t="s">
        <v>906</v>
      </c>
      <c r="H250" s="76" t="s">
        <v>419</v>
      </c>
      <c r="I250" s="60"/>
      <c r="J250" s="91">
        <f>E250/(Total!C7*10^6)*100</f>
        <v>8.261455525606469E-4</v>
      </c>
      <c r="K250" s="18">
        <v>2018</v>
      </c>
      <c r="L250" s="63" t="s">
        <v>92</v>
      </c>
      <c r="M250" s="18"/>
      <c r="N250" s="18"/>
    </row>
    <row r="251" spans="1:14" ht="142.5">
      <c r="A251" s="52">
        <v>243</v>
      </c>
      <c r="B251" s="60" t="s">
        <v>908</v>
      </c>
      <c r="D251" s="60" t="s">
        <v>227</v>
      </c>
      <c r="E251" s="61">
        <f>0.02*298+603+0.06*25</f>
        <v>610.46</v>
      </c>
      <c r="F251" s="68" t="s">
        <v>909</v>
      </c>
      <c r="G251" s="60" t="s">
        <v>443</v>
      </c>
      <c r="H251" s="60" t="s">
        <v>334</v>
      </c>
      <c r="I251" s="60"/>
      <c r="J251" s="91">
        <f>E251/(Total!C7*10^6)*100</f>
        <v>8.2272237196765504E-4</v>
      </c>
      <c r="K251" s="1">
        <v>2017</v>
      </c>
      <c r="L251" s="18" t="s">
        <v>220</v>
      </c>
      <c r="M251" s="18"/>
      <c r="N251" s="18"/>
    </row>
    <row r="252" spans="1:14" ht="65.25" customHeight="1">
      <c r="A252" s="52">
        <v>244</v>
      </c>
      <c r="B252" s="68" t="s">
        <v>910</v>
      </c>
      <c r="C252" s="68" t="s">
        <v>911</v>
      </c>
      <c r="D252" s="60" t="s">
        <v>116</v>
      </c>
      <c r="E252" s="69">
        <v>495</v>
      </c>
      <c r="F252" s="68"/>
      <c r="G252" s="68" t="s">
        <v>912</v>
      </c>
      <c r="H252" s="60" t="s">
        <v>80</v>
      </c>
      <c r="I252" s="60"/>
      <c r="J252" s="91">
        <f>E252/(Total!C7*10^6)*100</f>
        <v>6.6711590296495956E-4</v>
      </c>
      <c r="K252" s="1">
        <v>2018</v>
      </c>
      <c r="L252" s="63" t="s">
        <v>195</v>
      </c>
      <c r="M252" s="18"/>
      <c r="N252" s="18"/>
    </row>
    <row r="253" spans="1:14" ht="54.2" customHeight="1">
      <c r="A253" s="52">
        <v>245</v>
      </c>
      <c r="B253" s="68" t="s">
        <v>913</v>
      </c>
      <c r="C253" s="68" t="s">
        <v>601</v>
      </c>
      <c r="D253" s="60" t="s">
        <v>129</v>
      </c>
      <c r="E253" s="69">
        <v>367</v>
      </c>
      <c r="F253" s="68"/>
      <c r="G253" s="68" t="s">
        <v>913</v>
      </c>
      <c r="H253" s="76" t="s">
        <v>419</v>
      </c>
      <c r="I253" s="60"/>
      <c r="J253" s="91">
        <f>E253/(Total!C7*10^6)*100</f>
        <v>4.9460916442048517E-4</v>
      </c>
      <c r="K253" s="1">
        <v>2018</v>
      </c>
      <c r="L253" s="63" t="s">
        <v>195</v>
      </c>
      <c r="M253" s="18"/>
      <c r="N253" s="18"/>
    </row>
    <row r="254" spans="1:14" ht="49.5" customHeight="1">
      <c r="A254" s="52">
        <v>246</v>
      </c>
      <c r="B254" s="68" t="s">
        <v>914</v>
      </c>
      <c r="C254" s="68" t="s">
        <v>915</v>
      </c>
      <c r="D254" s="60" t="s">
        <v>393</v>
      </c>
      <c r="E254" s="69">
        <v>296</v>
      </c>
      <c r="F254" s="68"/>
      <c r="G254" s="68" t="s">
        <v>914</v>
      </c>
      <c r="H254" s="76" t="s">
        <v>419</v>
      </c>
      <c r="I254" s="60"/>
      <c r="J254" s="91">
        <f>E254/(Total!C7*10^6)*100</f>
        <v>3.9892183288409703E-4</v>
      </c>
      <c r="K254" s="1">
        <v>2016</v>
      </c>
      <c r="L254" s="63" t="s">
        <v>92</v>
      </c>
      <c r="M254" s="18"/>
      <c r="N254" s="18"/>
    </row>
    <row r="255" spans="1:14" ht="49.5" customHeight="1">
      <c r="A255" s="52">
        <v>247</v>
      </c>
      <c r="B255" s="68" t="s">
        <v>916</v>
      </c>
      <c r="C255" s="68" t="s">
        <v>917</v>
      </c>
      <c r="D255" s="60" t="s">
        <v>116</v>
      </c>
      <c r="E255" s="69">
        <v>212</v>
      </c>
      <c r="F255" s="68"/>
      <c r="G255" s="68" t="s">
        <v>918</v>
      </c>
      <c r="H255" s="76" t="s">
        <v>419</v>
      </c>
      <c r="I255" s="60"/>
      <c r="J255" s="91">
        <f>E255/(Total!C7*10^6)*100</f>
        <v>2.8571428571428574E-4</v>
      </c>
      <c r="K255" s="18">
        <v>2018</v>
      </c>
      <c r="L255" s="63" t="s">
        <v>195</v>
      </c>
      <c r="M255" s="18"/>
      <c r="N255" s="18"/>
    </row>
    <row r="256" spans="1:14" ht="49.5" customHeight="1">
      <c r="A256" s="52">
        <v>248</v>
      </c>
      <c r="B256" s="60" t="s">
        <v>919</v>
      </c>
      <c r="C256" s="60" t="s">
        <v>920</v>
      </c>
      <c r="D256" s="60" t="s">
        <v>85</v>
      </c>
      <c r="E256" s="61">
        <v>121</v>
      </c>
      <c r="F256" s="60"/>
      <c r="G256" s="60" t="s">
        <v>919</v>
      </c>
      <c r="H256" s="76" t="s">
        <v>419</v>
      </c>
      <c r="I256" s="60"/>
      <c r="J256" s="91">
        <f>E256/(Total!C7*10^6)*100</f>
        <v>1.6307277628032347E-4</v>
      </c>
      <c r="K256" s="18">
        <v>2018</v>
      </c>
      <c r="L256" s="63" t="s">
        <v>195</v>
      </c>
      <c r="M256" s="18"/>
      <c r="N256" s="18"/>
    </row>
    <row r="257" spans="1:14" ht="44.25" customHeight="1">
      <c r="A257" s="97" t="s">
        <v>921</v>
      </c>
      <c r="B257" s="98">
        <v>248</v>
      </c>
      <c r="C257" s="99"/>
      <c r="D257" s="99"/>
      <c r="E257" s="100">
        <f>SUM(E9:E256)</f>
        <v>39308121.119999997</v>
      </c>
      <c r="F257" s="99"/>
      <c r="G257" s="99"/>
      <c r="H257" s="99"/>
      <c r="I257" s="99"/>
      <c r="J257" s="101">
        <f>SUM(J9:J256)</f>
        <v>52.975904474393502</v>
      </c>
      <c r="K257" s="99"/>
      <c r="L257" s="99"/>
      <c r="M257" s="102"/>
      <c r="N257" s="102"/>
    </row>
    <row r="258" spans="1:14" ht="22.5" customHeight="1">
      <c r="A258" s="103" t="s">
        <v>922</v>
      </c>
      <c r="B258" s="115" t="s">
        <v>923</v>
      </c>
      <c r="C258" s="115"/>
      <c r="D258" s="115"/>
      <c r="E258" s="115"/>
      <c r="F258" s="115"/>
      <c r="G258" s="115"/>
      <c r="H258" s="115"/>
      <c r="I258" s="115"/>
      <c r="M258" s="104"/>
      <c r="N258" s="102"/>
    </row>
    <row r="259" spans="1:14" ht="56.25" customHeight="1">
      <c r="A259" s="116" t="s">
        <v>924</v>
      </c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02"/>
      <c r="N259" s="102"/>
    </row>
    <row r="260" spans="1:14" ht="142.5">
      <c r="A260" s="105"/>
      <c r="B260" s="60" t="s">
        <v>925</v>
      </c>
      <c r="C260" s="60"/>
      <c r="D260" s="60"/>
      <c r="E260" s="106">
        <v>1370440</v>
      </c>
      <c r="F260" s="60"/>
      <c r="G260" s="60" t="s">
        <v>925</v>
      </c>
      <c r="H260" s="60" t="s">
        <v>219</v>
      </c>
      <c r="I260" s="60"/>
      <c r="J260" s="18"/>
      <c r="K260" s="18">
        <v>2018</v>
      </c>
      <c r="L260" s="63" t="s">
        <v>195</v>
      </c>
      <c r="M260" s="102"/>
      <c r="N260" s="102"/>
    </row>
    <row r="261" spans="1:14" ht="142.5">
      <c r="B261" s="60" t="s">
        <v>926</v>
      </c>
      <c r="C261" s="60"/>
      <c r="D261" s="60"/>
      <c r="E261" s="106">
        <v>126675</v>
      </c>
      <c r="F261" s="60"/>
      <c r="G261" s="60" t="s">
        <v>926</v>
      </c>
      <c r="H261" s="60" t="s">
        <v>927</v>
      </c>
      <c r="I261" s="60"/>
      <c r="J261" s="18"/>
      <c r="K261" s="18">
        <v>2018</v>
      </c>
      <c r="L261" s="63" t="s">
        <v>195</v>
      </c>
    </row>
    <row r="262" spans="1:14" ht="142.5">
      <c r="B262" s="60" t="s">
        <v>928</v>
      </c>
      <c r="C262" s="60"/>
      <c r="D262" s="60"/>
      <c r="E262" s="106">
        <v>1095</v>
      </c>
      <c r="F262" s="60"/>
      <c r="G262" s="60" t="s">
        <v>928</v>
      </c>
      <c r="H262" s="60" t="s">
        <v>219</v>
      </c>
      <c r="I262" s="60"/>
      <c r="J262" s="18"/>
      <c r="K262" s="1">
        <v>2018</v>
      </c>
      <c r="L262" s="63" t="s">
        <v>195</v>
      </c>
    </row>
    <row r="263" spans="1:14" ht="43.35" customHeight="1">
      <c r="B263" s="60" t="s">
        <v>929</v>
      </c>
      <c r="E263" s="108">
        <f>ANEX_I!D19*1000</f>
        <v>17232350.000000004</v>
      </c>
      <c r="H263" s="60" t="s">
        <v>930</v>
      </c>
      <c r="K263" s="18">
        <v>2018</v>
      </c>
      <c r="L263" s="18" t="s">
        <v>931</v>
      </c>
    </row>
    <row r="264" spans="1:14" ht="52.15" customHeight="1">
      <c r="B264" s="60" t="s">
        <v>932</v>
      </c>
      <c r="C264" s="60"/>
      <c r="D264" s="60"/>
      <c r="E264" s="106">
        <f>ANEX_I!D20*1000</f>
        <v>33700</v>
      </c>
      <c r="F264" s="68"/>
      <c r="G264" s="60" t="s">
        <v>933</v>
      </c>
      <c r="H264" s="60" t="s">
        <v>934</v>
      </c>
      <c r="I264" s="60"/>
      <c r="J264" s="18"/>
      <c r="K264" s="18">
        <v>2018</v>
      </c>
      <c r="L264" s="18" t="s">
        <v>931</v>
      </c>
    </row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B258:I258"/>
    <mergeCell ref="A259:L259"/>
    <mergeCell ref="A2:N2"/>
    <mergeCell ref="A3:N3"/>
    <mergeCell ref="A4:N4"/>
    <mergeCell ref="A5:N5"/>
    <mergeCell ref="A6:N6"/>
    <mergeCell ref="C8:D8"/>
  </mergeCells>
  <hyperlinks>
    <hyperlink ref="L9" r:id="rId1" location="/facilitydetails?FacilityID=5485&amp;ReportingYear=2017"/>
    <hyperlink ref="L10" r:id="rId2" location="/facilitydetails?FacilityID=5530&amp;ReportingYear=2017"/>
    <hyperlink ref="L11" r:id="rId3"/>
    <hyperlink ref="L12" r:id="rId4"/>
    <hyperlink ref="L13" r:id="rId5" location="/facilitydetails?FacilityID=5476&amp;ReportingYear=2017"/>
    <hyperlink ref="L14" r:id="rId6"/>
    <hyperlink ref="L16" r:id="rId7" location="/facilitydetails?FacilityID=5448&amp;ReportingYear=2017"/>
    <hyperlink ref="L17" r:id="rId8"/>
    <hyperlink ref="L18" r:id="rId9" location="/facilitydetails?FacilityID=5388&amp;ReportingYear=2017"/>
    <hyperlink ref="L19" r:id="rId10"/>
    <hyperlink ref="L20" r:id="rId11" location="/facilitydetails?FacilityID=5367&amp;ReportingYear=2017"/>
    <hyperlink ref="L21" r:id="rId12" location="/facilitydetails?FacilityID=5361&amp;ReportingYear=2017"/>
    <hyperlink ref="L22" r:id="rId13" location="/facilitydetails?FacilityID=5410&amp;ReportingYear=2017"/>
    <hyperlink ref="L23" r:id="rId14"/>
    <hyperlink ref="L24" r:id="rId15" location="/facilitydetails?FacilityID=5389&amp;ReportingYear=2017"/>
    <hyperlink ref="L25" r:id="rId16"/>
    <hyperlink ref="L26" r:id="rId17" location="/facilitydetails?FacilityID=5451&amp;ReportingYear=2017"/>
    <hyperlink ref="L27" r:id="rId18" location="/facilitydetails?FacilityID=38507&amp;ReportingYear=2017"/>
    <hyperlink ref="L28" r:id="rId19" location="/facilitydetails?FacilityID=5392&amp;ReportingYear=2017"/>
    <hyperlink ref="L29" r:id="rId20" location="/facilitydetails?FacilityID=133911&amp;ReportingYear=2017"/>
    <hyperlink ref="L30" r:id="rId21"/>
    <hyperlink ref="L31" r:id="rId22" location="/facilitydetails?FacilityID=5473&amp;ReportingYear=2017"/>
    <hyperlink ref="L32" r:id="rId23" location="/facilitydetails?FacilityID=5361&amp;ReportingYear=2017"/>
    <hyperlink ref="L33" r:id="rId24"/>
    <hyperlink ref="L34" r:id="rId25" location="/facilitydetails?FacilityID=133882&amp;ReportingYear=2017"/>
    <hyperlink ref="L35" r:id="rId26"/>
    <hyperlink ref="L36" r:id="rId27"/>
    <hyperlink ref="L37" r:id="rId28" location="/facilitydetails?FacilityID=133926&amp;ReportingYear=2017"/>
    <hyperlink ref="L38" r:id="rId29" location="/facilitydetails?FacilityID=5363&amp;ReportingYear=2017"/>
    <hyperlink ref="L39" r:id="rId30" location="/facilitydetails?FacilityID=5360&amp;ReportingYear=2017"/>
    <hyperlink ref="L40" r:id="rId31" location="/facilitydetails?FacilityID=5357&amp;ReportingYear=2017"/>
    <hyperlink ref="L41" r:id="rId32"/>
    <hyperlink ref="L42" r:id="rId33" location="/facilitydetails?FacilityID=5468&amp;ReportingYear=2017"/>
    <hyperlink ref="L44" r:id="rId34"/>
    <hyperlink ref="L45" r:id="rId35" location="/facilitydetails?FacilityID=38353&amp;ReportingYear=2017"/>
    <hyperlink ref="L46" r:id="rId36"/>
    <hyperlink ref="L47" r:id="rId37" location="/facilitydetails?FacilityID=5571&amp;ReportingYear=2017"/>
    <hyperlink ref="L48" r:id="rId38" location="/facilitydetails?FacilityID=5368&amp;ReportingYear=2017"/>
    <hyperlink ref="L49" r:id="rId39"/>
    <hyperlink ref="L50" r:id="rId40" location="/facilitydetails?FacilityID=5368&amp;ReportingYear=2017"/>
    <hyperlink ref="L51" r:id="rId41" location="/facilitydetails?FacilityID=38621&amp;ReportingYear=2017"/>
    <hyperlink ref="L52" r:id="rId42"/>
    <hyperlink ref="L53" r:id="rId43"/>
    <hyperlink ref="L55" r:id="rId44" location="/facilitydetails?FacilityID=5368&amp;ReportingYear=2017"/>
    <hyperlink ref="L56" r:id="rId45"/>
    <hyperlink ref="L57" r:id="rId46" location="/facilitydetails?FacilityID=38311&amp;ReportingYear=2017"/>
    <hyperlink ref="L58" r:id="rId47"/>
    <hyperlink ref="L59" r:id="rId48"/>
    <hyperlink ref="L60" r:id="rId49"/>
    <hyperlink ref="L61" r:id="rId50"/>
    <hyperlink ref="L62" r:id="rId51"/>
    <hyperlink ref="L63" r:id="rId52" location="/facilitydetails?FacilityID=5361&amp;ReportingYear=2017"/>
    <hyperlink ref="L66" r:id="rId53" location="/facilitydetails?FacilityID=5632&amp;ReportingYear=2017"/>
    <hyperlink ref="L67" r:id="rId54"/>
    <hyperlink ref="L69" r:id="rId55" location="/facilitydetails?FacilityID=38337&amp;ReportingYear=2017"/>
    <hyperlink ref="L71" r:id="rId56" location="/facilitydetails?FacilityID=5521&amp;ReportingYear=2017"/>
    <hyperlink ref="L72" r:id="rId57"/>
    <hyperlink ref="L73" r:id="rId58" location="/facilitydetails?FacilityID=5634&amp;ReportingYear=2017"/>
    <hyperlink ref="L74" r:id="rId59"/>
    <hyperlink ref="L75" r:id="rId60"/>
    <hyperlink ref="L76" r:id="rId61" location="/facilitydetails?FacilityID=5479&amp;ReportingYear=2017"/>
    <hyperlink ref="L77" r:id="rId62"/>
    <hyperlink ref="L78" r:id="rId63" location="/facilitydetails?FacilityID=38561&amp;ReportingYear=2017"/>
    <hyperlink ref="L79" r:id="rId64" location="/facilitydetails?FacilityID=5593&amp;ReportingYear=2017"/>
    <hyperlink ref="L80" r:id="rId65" location="/facilitydetails?FacilityID=82261&amp;ReportingYear=2017"/>
    <hyperlink ref="L82" r:id="rId66"/>
    <hyperlink ref="L83" r:id="rId67" location="/facilitydetails?FacilityID=5564&amp;ReportingYear=2017"/>
    <hyperlink ref="L84" r:id="rId68"/>
    <hyperlink ref="L85" r:id="rId69"/>
    <hyperlink ref="L86" r:id="rId70" location="/facilitydetails?FacilityID=5649&amp;ReportingYear=2017"/>
    <hyperlink ref="L87" r:id="rId71"/>
    <hyperlink ref="L88" r:id="rId72"/>
    <hyperlink ref="L89" r:id="rId73"/>
    <hyperlink ref="L90" r:id="rId74"/>
    <hyperlink ref="L92" r:id="rId75"/>
    <hyperlink ref="L93" r:id="rId76" location="/facilitydetails?FacilityID=177448&amp;ReportingYear=2017"/>
    <hyperlink ref="L94" r:id="rId77"/>
    <hyperlink ref="L95" r:id="rId78"/>
    <hyperlink ref="L97" r:id="rId79"/>
    <hyperlink ref="L98" r:id="rId80"/>
    <hyperlink ref="L99" r:id="rId81"/>
    <hyperlink ref="L100" r:id="rId82" location="/facilitydetails?FacilityID=5361&amp;ReportingYear=2017"/>
    <hyperlink ref="L101" r:id="rId83"/>
    <hyperlink ref="L102" r:id="rId84" location="/facilitydetails?FacilityID=5668&amp;ReportingYear=2017"/>
    <hyperlink ref="L103" r:id="rId85" location="/facilitydetails?FacilityID=5587&amp;ReportingYear=2017"/>
    <hyperlink ref="L104" r:id="rId86"/>
    <hyperlink ref="L105" r:id="rId87"/>
    <hyperlink ref="L106" r:id="rId88"/>
    <hyperlink ref="L107" r:id="rId89"/>
    <hyperlink ref="L108" r:id="rId90" location="/facilitydetails?FacilityID=5563&amp;ReportingYear=2017"/>
    <hyperlink ref="L109" r:id="rId91"/>
    <hyperlink ref="L110" r:id="rId92"/>
    <hyperlink ref="L111" r:id="rId93"/>
    <hyperlink ref="L112" r:id="rId94" location="/facilitydetails?FacilityID=5492&amp;ReportingYear=2017"/>
    <hyperlink ref="L114" r:id="rId95"/>
    <hyperlink ref="L115" r:id="rId96"/>
    <hyperlink ref="L116" r:id="rId97"/>
    <hyperlink ref="L117" r:id="rId98" location="/facilitydetails?FacilityID=5510&amp;ReportingYear=2017"/>
    <hyperlink ref="L118" r:id="rId99" location="/facilitydetails?FacilityID=38465&amp;ReportingYear=2017"/>
    <hyperlink ref="L119" r:id="rId100"/>
    <hyperlink ref="L120" r:id="rId101" location="/facilitydetails?FacilityID=5458&amp;ReportingYear=2017"/>
    <hyperlink ref="L121" r:id="rId102" location="/facilitydetails?FacilityID=5565&amp;ReportingYear=2017"/>
    <hyperlink ref="L123" r:id="rId103"/>
    <hyperlink ref="L124" r:id="rId104"/>
    <hyperlink ref="L125" r:id="rId105" location="/facilitydetails?FacilityID=5616&amp;ReportingYear=2017"/>
    <hyperlink ref="L126" r:id="rId106" location="/facilitydetails?FacilityID=5361&amp;ReportingYear=2017"/>
    <hyperlink ref="L127" r:id="rId107"/>
    <hyperlink ref="L128" r:id="rId108"/>
    <hyperlink ref="L129" r:id="rId109"/>
    <hyperlink ref="L130" r:id="rId110"/>
    <hyperlink ref="L132" r:id="rId111"/>
    <hyperlink ref="L133" r:id="rId112" location="/facilitydetails?FacilityID=38440&amp;ReportingYear=2017"/>
    <hyperlink ref="L134" r:id="rId113" location="/facilitydetails?FacilityID=5361&amp;ReportingYear=2017"/>
    <hyperlink ref="L136" r:id="rId114" location="/facilitydetails?FacilityID=38312&amp;ReportingYear=2017"/>
    <hyperlink ref="L137" r:id="rId115"/>
    <hyperlink ref="L138" r:id="rId116"/>
    <hyperlink ref="L139" r:id="rId117" location="/facilitydetails?FacilityID=5361&amp;ReportingYear=2017"/>
    <hyperlink ref="L140" r:id="rId118"/>
    <hyperlink ref="L141" r:id="rId119"/>
    <hyperlink ref="L142" r:id="rId120"/>
    <hyperlink ref="L143" r:id="rId121"/>
    <hyperlink ref="L144" r:id="rId122"/>
    <hyperlink ref="L145" r:id="rId123" location="/facilitydetails?FacilityID=38536&amp;ReportingYear=2017"/>
    <hyperlink ref="L146" r:id="rId124"/>
    <hyperlink ref="L147" r:id="rId125"/>
    <hyperlink ref="L149" r:id="rId126"/>
    <hyperlink ref="L150" r:id="rId127"/>
    <hyperlink ref="L152" r:id="rId128"/>
    <hyperlink ref="L153" r:id="rId129"/>
    <hyperlink ref="L154" r:id="rId130"/>
    <hyperlink ref="L155" r:id="rId131"/>
    <hyperlink ref="L156" r:id="rId132"/>
    <hyperlink ref="L157" r:id="rId133"/>
    <hyperlink ref="L158" r:id="rId134" location="/facilitydetails?FacilityID=5612&amp;ReportingYear=2017"/>
    <hyperlink ref="L159" r:id="rId135"/>
    <hyperlink ref="L160" r:id="rId136"/>
    <hyperlink ref="L161" r:id="rId137"/>
    <hyperlink ref="L162" r:id="rId138"/>
    <hyperlink ref="L163" r:id="rId139"/>
    <hyperlink ref="L164" r:id="rId140"/>
    <hyperlink ref="L166" r:id="rId141" location="/facilitydetails?FacilityID=5581&amp;ReportingYear=2017"/>
    <hyperlink ref="L167" r:id="rId142"/>
    <hyperlink ref="L168" r:id="rId143"/>
    <hyperlink ref="L169" r:id="rId144"/>
    <hyperlink ref="L170" r:id="rId145" location="/facilitydetails?FacilityID=5361&amp;ReportingYear=2017"/>
    <hyperlink ref="L171" r:id="rId146"/>
    <hyperlink ref="L172" r:id="rId147"/>
    <hyperlink ref="L173" r:id="rId148"/>
    <hyperlink ref="L175" r:id="rId149"/>
    <hyperlink ref="L176" r:id="rId150" location="/facilitydetails?FacilityID=38689&amp;ReportingYear=2017"/>
    <hyperlink ref="L177" r:id="rId151"/>
    <hyperlink ref="L179" r:id="rId152" location="/facilitydetails?FacilityID=241626&amp;ReportingYear=2017"/>
    <hyperlink ref="L180" r:id="rId153" location="/facilitydetails?FacilityID=133856&amp;ReportingYear=2017"/>
    <hyperlink ref="L181" r:id="rId154" location="/facilitydetails?FacilityID=5559&amp;ReportingYear=2017"/>
    <hyperlink ref="L182" r:id="rId155" location="/facilitydetails?FacilityID=5588&amp;ReportingYear=2017"/>
    <hyperlink ref="L183" r:id="rId156"/>
    <hyperlink ref="L184" r:id="rId157" location="/facilitydetails?FacilityID=38397&amp;ReportingYear=2017"/>
    <hyperlink ref="L185" r:id="rId158"/>
    <hyperlink ref="L186" r:id="rId159"/>
    <hyperlink ref="L187" r:id="rId160"/>
    <hyperlink ref="L188" r:id="rId161" location="/facilitydetails?FacilityID=5361&amp;ReportingYear=2017"/>
    <hyperlink ref="L189" r:id="rId162"/>
    <hyperlink ref="L190" r:id="rId163"/>
    <hyperlink ref="L191" r:id="rId164" location="/facilitydetails?FacilityID=5394&amp;ReportingYear=2017"/>
    <hyperlink ref="L192" r:id="rId165"/>
    <hyperlink ref="L193" r:id="rId166"/>
    <hyperlink ref="L194" r:id="rId167"/>
    <hyperlink ref="L195" r:id="rId168"/>
    <hyperlink ref="L196" r:id="rId169"/>
    <hyperlink ref="L197" r:id="rId170" location="/facilitydetails?FacilityID=241620&amp;ReportingYear=2017"/>
    <hyperlink ref="L198" r:id="rId171"/>
    <hyperlink ref="L199" r:id="rId172"/>
    <hyperlink ref="L200" r:id="rId173"/>
    <hyperlink ref="L201" r:id="rId174"/>
    <hyperlink ref="L202" r:id="rId175"/>
    <hyperlink ref="L204" r:id="rId176"/>
    <hyperlink ref="L205" r:id="rId177"/>
    <hyperlink ref="L206" r:id="rId178"/>
    <hyperlink ref="L208" r:id="rId179"/>
    <hyperlink ref="L209" r:id="rId180" location="/facilitydetails?FacilityID=301572&amp;ReportingYear=2017"/>
    <hyperlink ref="L210" r:id="rId181" location="/facilitydetails?FacilityID=5640&amp;ReportingYear=2017"/>
    <hyperlink ref="L211" r:id="rId182"/>
    <hyperlink ref="L212" r:id="rId183"/>
    <hyperlink ref="L213" r:id="rId184" location="/facilitydetails?FacilityID=5361&amp;ReportingYear=2017"/>
    <hyperlink ref="L214" r:id="rId185"/>
    <hyperlink ref="L215" r:id="rId186"/>
    <hyperlink ref="L220" r:id="rId187"/>
    <hyperlink ref="L221" r:id="rId188"/>
    <hyperlink ref="L224" r:id="rId189"/>
    <hyperlink ref="L225" r:id="rId190" location="/facilitydetails?FacilityID=5361&amp;ReportingYear=2017"/>
    <hyperlink ref="L226" r:id="rId191" location="/facilitydetails?FacilityID=38548&amp;ReportingYear=2017"/>
    <hyperlink ref="L227" r:id="rId192" location="/facilitydetails?FacilityID=5657&amp;ReportingYear=2017"/>
    <hyperlink ref="L228" r:id="rId193"/>
    <hyperlink ref="L229" r:id="rId194" location="/facilitydetails?FacilityID=38539&amp;ReportingYear=2017"/>
    <hyperlink ref="L230" r:id="rId195" location="/facilitydetails?FacilityID=5527&amp;ReportingYear=2017"/>
    <hyperlink ref="L231" r:id="rId196"/>
    <hyperlink ref="L234" r:id="rId197" location="/facilitydetails?FacilityID=82315&amp;ReportingYear=2017"/>
    <hyperlink ref="L235" r:id="rId198"/>
    <hyperlink ref="L237" r:id="rId199" location="/facilitydetails?FacilityID=5547&amp;ReportingYear=2017"/>
    <hyperlink ref="L238" r:id="rId200"/>
    <hyperlink ref="L239" r:id="rId201" location="/facilitydetails?FacilityID=5361&amp;ReportingYear=2017"/>
    <hyperlink ref="L241" r:id="rId202"/>
    <hyperlink ref="L242" r:id="rId203"/>
    <hyperlink ref="L243" r:id="rId204"/>
    <hyperlink ref="L244" r:id="rId205"/>
    <hyperlink ref="L245" r:id="rId206"/>
    <hyperlink ref="L246" r:id="rId207"/>
    <hyperlink ref="L247" r:id="rId208"/>
    <hyperlink ref="L249" r:id="rId209"/>
    <hyperlink ref="L252" r:id="rId210"/>
    <hyperlink ref="L253" r:id="rId211"/>
    <hyperlink ref="L255" r:id="rId212"/>
    <hyperlink ref="L256" r:id="rId213"/>
    <hyperlink ref="L260" r:id="rId214"/>
    <hyperlink ref="L261" r:id="rId215"/>
    <hyperlink ref="L262" r:id="rId216"/>
  </hyperlinks>
  <pageMargins left="1" right="1" top="1.3937000000000002" bottom="1.5834999999999999" header="0.51180000000000003" footer="0.25"/>
  <pageSetup paperSize="0" scale="11" fitToWidth="0" fitToHeight="0" orientation="portrait" horizontalDpi="0" verticalDpi="0" copies="0"/>
  <headerFooter>
    <oddFooter>&amp;C&amp;12&amp;P</oddFooter>
  </headerFooter>
  <rowBreaks count="13" manualBreakCount="13">
    <brk id="18" man="1"/>
    <brk id="28" man="1"/>
    <brk id="47" man="1"/>
    <brk id="68" man="1"/>
    <brk id="87" man="1"/>
    <brk id="107" man="1"/>
    <brk id="127" man="1"/>
    <brk id="146" man="1"/>
    <brk id="167" man="1"/>
    <brk id="186" man="1"/>
    <brk id="206" man="1"/>
    <brk id="227" man="1"/>
    <brk id="2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/>
  </sheetViews>
  <sheetFormatPr defaultRowHeight="13.9"/>
  <cols>
    <col min="1" max="1" width="23.125" style="1" customWidth="1"/>
    <col min="2" max="2" width="12.625" style="1" customWidth="1"/>
    <col min="3" max="3" width="13.5" style="1" customWidth="1"/>
    <col min="4" max="4" width="16.125" style="1" customWidth="1"/>
    <col min="5" max="5" width="14.5" style="1" customWidth="1"/>
    <col min="6" max="6" width="15.25" style="1" customWidth="1"/>
    <col min="7" max="1024" width="9" style="1" customWidth="1"/>
  </cols>
  <sheetData>
    <row r="1" spans="1:6" ht="27.6" customHeight="1">
      <c r="A1" s="43" t="s">
        <v>18</v>
      </c>
      <c r="B1" s="43"/>
      <c r="C1" s="43"/>
      <c r="D1" s="43"/>
      <c r="E1" s="43"/>
      <c r="F1" s="43"/>
    </row>
    <row r="2" spans="1:6" ht="20.25" customHeight="1">
      <c r="A2" s="44" t="s">
        <v>0</v>
      </c>
      <c r="B2" s="44"/>
      <c r="C2" s="44"/>
      <c r="D2" s="44"/>
      <c r="E2" s="44"/>
      <c r="F2" s="44"/>
    </row>
    <row r="3" spans="1:6" ht="20.25" customHeight="1">
      <c r="A3" s="45" t="s">
        <v>35</v>
      </c>
      <c r="B3" s="45"/>
      <c r="C3" s="45"/>
      <c r="D3" s="45"/>
      <c r="E3" s="45"/>
      <c r="F3" s="45"/>
    </row>
    <row r="4" spans="1:6" ht="20.100000000000001" customHeight="1">
      <c r="A4" s="46"/>
      <c r="B4" s="46"/>
      <c r="C4" s="46"/>
      <c r="D4" s="46"/>
      <c r="E4" s="46"/>
      <c r="F4" s="46"/>
    </row>
    <row r="5" spans="1:6" ht="20.100000000000001" customHeight="1">
      <c r="A5" s="47" t="s">
        <v>935</v>
      </c>
      <c r="B5" s="47"/>
      <c r="C5" s="47"/>
      <c r="D5" s="47"/>
      <c r="E5" s="47"/>
      <c r="F5" s="47"/>
    </row>
    <row r="6" spans="1:6" ht="20.100000000000001" customHeight="1">
      <c r="A6" s="140"/>
      <c r="B6" s="140"/>
      <c r="C6" s="140"/>
      <c r="D6" s="140"/>
      <c r="E6" s="140"/>
      <c r="F6" s="140"/>
    </row>
    <row r="7" spans="1:6" ht="32.1" customHeight="1">
      <c r="A7" s="18"/>
      <c r="B7" s="117" t="s">
        <v>936</v>
      </c>
      <c r="C7" s="118" t="s">
        <v>937</v>
      </c>
      <c r="D7" s="117" t="s">
        <v>938</v>
      </c>
      <c r="E7" s="119" t="s">
        <v>939</v>
      </c>
      <c r="F7" s="120" t="s">
        <v>940</v>
      </c>
    </row>
    <row r="8" spans="1:6" ht="59.45" customHeight="1">
      <c r="A8" s="121" t="s">
        <v>941</v>
      </c>
      <c r="B8" s="122">
        <f>8.5+10.99</f>
        <v>19.490000000000002</v>
      </c>
      <c r="C8" s="123">
        <v>1977.57</v>
      </c>
      <c r="D8" s="123">
        <f t="shared" ref="D8:D19" si="0">B8-C8</f>
        <v>-1958.08</v>
      </c>
      <c r="E8" s="124">
        <v>-7179.61</v>
      </c>
      <c r="F8" s="125" t="s">
        <v>942</v>
      </c>
    </row>
    <row r="9" spans="1:6" ht="58.7" customHeight="1">
      <c r="A9" s="121" t="s">
        <v>943</v>
      </c>
      <c r="B9" s="122">
        <v>0</v>
      </c>
      <c r="C9" s="123">
        <f>510.78+26.9+119.03</f>
        <v>656.70999999999992</v>
      </c>
      <c r="D9" s="123">
        <f t="shared" si="0"/>
        <v>-656.70999999999992</v>
      </c>
      <c r="E9" s="124">
        <v>-2407.9499999999998</v>
      </c>
      <c r="F9" s="125" t="s">
        <v>942</v>
      </c>
    </row>
    <row r="10" spans="1:6" ht="61.9" customHeight="1">
      <c r="A10" s="121" t="s">
        <v>944</v>
      </c>
      <c r="B10" s="122">
        <v>0</v>
      </c>
      <c r="C10" s="123">
        <f>38.13+15.78</f>
        <v>53.910000000000004</v>
      </c>
      <c r="D10" s="123">
        <f t="shared" si="0"/>
        <v>-53.910000000000004</v>
      </c>
      <c r="E10" s="126" t="s">
        <v>945</v>
      </c>
      <c r="F10" s="125" t="s">
        <v>946</v>
      </c>
    </row>
    <row r="11" spans="1:6" ht="60.2" customHeight="1">
      <c r="A11" s="127" t="s">
        <v>947</v>
      </c>
      <c r="B11" s="122">
        <f>46.55+6.02+148.68</f>
        <v>201.25</v>
      </c>
      <c r="C11" s="123">
        <v>0</v>
      </c>
      <c r="D11" s="123">
        <f t="shared" si="0"/>
        <v>201.25</v>
      </c>
      <c r="E11" s="126">
        <v>737.93</v>
      </c>
      <c r="F11" s="125" t="s">
        <v>946</v>
      </c>
    </row>
    <row r="12" spans="1:6" ht="65.099999999999994" customHeight="1">
      <c r="A12" s="121" t="s">
        <v>948</v>
      </c>
      <c r="B12" s="122">
        <v>0</v>
      </c>
      <c r="C12" s="123">
        <v>102.29</v>
      </c>
      <c r="D12" s="123">
        <f t="shared" si="0"/>
        <v>-102.29</v>
      </c>
      <c r="E12" s="126">
        <v>-375.07</v>
      </c>
      <c r="F12" s="125" t="s">
        <v>949</v>
      </c>
    </row>
    <row r="13" spans="1:6" ht="63.4" customHeight="1">
      <c r="A13" s="127" t="s">
        <v>950</v>
      </c>
      <c r="B13" s="122">
        <f>34.93+2.1+82.78</f>
        <v>119.81</v>
      </c>
      <c r="C13" s="123">
        <v>0</v>
      </c>
      <c r="D13" s="123">
        <f t="shared" si="0"/>
        <v>119.81</v>
      </c>
      <c r="E13" s="126">
        <v>439.29</v>
      </c>
      <c r="F13" s="125" t="s">
        <v>949</v>
      </c>
    </row>
    <row r="14" spans="1:6" ht="62.65" customHeight="1">
      <c r="A14" s="121" t="s">
        <v>951</v>
      </c>
      <c r="B14" s="122">
        <f>84.27+1.42+4.87</f>
        <v>90.56</v>
      </c>
      <c r="C14" s="123">
        <v>0</v>
      </c>
      <c r="D14" s="123">
        <f t="shared" si="0"/>
        <v>90.56</v>
      </c>
      <c r="E14" s="126" t="s">
        <v>952</v>
      </c>
      <c r="F14" s="125" t="s">
        <v>953</v>
      </c>
    </row>
    <row r="15" spans="1:6" ht="53.1" customHeight="1">
      <c r="A15" s="127" t="s">
        <v>954</v>
      </c>
      <c r="B15" s="122">
        <f>79.02+8.03+545.71</f>
        <v>632.76</v>
      </c>
      <c r="C15" s="123">
        <v>0</v>
      </c>
      <c r="D15" s="123">
        <f t="shared" si="0"/>
        <v>632.76</v>
      </c>
      <c r="E15" s="124">
        <v>2320.15</v>
      </c>
      <c r="F15" s="125" t="s">
        <v>955</v>
      </c>
    </row>
    <row r="16" spans="1:6" ht="62.65" customHeight="1">
      <c r="A16" s="121" t="s">
        <v>956</v>
      </c>
      <c r="B16" s="122">
        <v>0</v>
      </c>
      <c r="C16" s="123">
        <f>63.77+0.71+207.14</f>
        <v>271.62</v>
      </c>
      <c r="D16" s="123">
        <f t="shared" si="0"/>
        <v>-271.62</v>
      </c>
      <c r="E16" s="124">
        <v>-995.92</v>
      </c>
      <c r="F16" s="125" t="s">
        <v>957</v>
      </c>
    </row>
    <row r="17" spans="1:6" ht="34.5" customHeight="1">
      <c r="A17" s="121" t="s">
        <v>958</v>
      </c>
      <c r="B17" s="122">
        <v>180.15</v>
      </c>
      <c r="C17" s="123">
        <v>0</v>
      </c>
      <c r="D17" s="123">
        <f t="shared" si="0"/>
        <v>180.15</v>
      </c>
      <c r="E17" s="124">
        <f>657.34+3.79+0.05</f>
        <v>661.18</v>
      </c>
      <c r="F17" s="125" t="s">
        <v>959</v>
      </c>
    </row>
    <row r="18" spans="1:6" ht="21.4" customHeight="1">
      <c r="A18" s="128" t="s">
        <v>960</v>
      </c>
      <c r="B18" s="129">
        <f>B8+B9+B10+B11+B12+B13+B15+B16+B17</f>
        <v>1153.46</v>
      </c>
      <c r="C18" s="130">
        <f>C8+C9+C10+C11+C12+C13+C15+C16+C17</f>
        <v>3062.0999999999995</v>
      </c>
      <c r="D18" s="130">
        <f t="shared" si="0"/>
        <v>-1908.6399999999994</v>
      </c>
      <c r="E18" s="131">
        <f>E8+E9+E10+E11+E12+E13+E15+E16+E17</f>
        <v>-6997.659999999998</v>
      </c>
      <c r="F18" s="125"/>
    </row>
    <row r="19" spans="1:6" ht="21.4" customHeight="1">
      <c r="A19" s="132" t="s">
        <v>961</v>
      </c>
      <c r="B19" s="133">
        <f>B18/1000</f>
        <v>1.1534599999999999</v>
      </c>
      <c r="C19" s="133">
        <f>C18/1000</f>
        <v>3.0620999999999996</v>
      </c>
      <c r="D19" s="134">
        <f t="shared" si="0"/>
        <v>-1.9086399999999997</v>
      </c>
      <c r="E19" s="135">
        <f>E18/1000</f>
        <v>-6.997659999999998</v>
      </c>
      <c r="F19" s="136" t="s">
        <v>962</v>
      </c>
    </row>
    <row r="20" spans="1:6" ht="20.100000000000001" customHeight="1">
      <c r="A20" s="141" t="s">
        <v>963</v>
      </c>
      <c r="B20" s="137"/>
      <c r="C20" s="123"/>
      <c r="D20" s="123"/>
      <c r="E20" s="138"/>
      <c r="F20" s="125"/>
    </row>
    <row r="21" spans="1:6" ht="20.100000000000001" customHeight="1">
      <c r="A21" s="141"/>
      <c r="B21" s="137"/>
      <c r="C21" s="123"/>
      <c r="D21" s="123"/>
      <c r="E21" s="124"/>
      <c r="F21" s="125"/>
    </row>
    <row r="22" spans="1:6" ht="21.4" customHeight="1">
      <c r="A22" s="141"/>
      <c r="B22" s="137"/>
      <c r="C22" s="123"/>
      <c r="D22" s="123"/>
      <c r="E22" s="124"/>
      <c r="F22" s="125"/>
    </row>
    <row r="23" spans="1:6" ht="19.899999999999999" customHeight="1">
      <c r="A23" s="139"/>
    </row>
  </sheetData>
  <mergeCells count="7">
    <mergeCell ref="A20:A22"/>
    <mergeCell ref="A1:F1"/>
    <mergeCell ref="A2:F2"/>
    <mergeCell ref="A3:F3"/>
    <mergeCell ref="A4:F4"/>
    <mergeCell ref="A5:F5"/>
    <mergeCell ref="A6:F6"/>
  </mergeCells>
  <pageMargins left="1" right="1" top="1.3937000000000002" bottom="1.5834999999999999" header="0.51180000000000003" footer="0.25"/>
  <pageSetup paperSize="0" scale="64" fitToWidth="0" fitToHeight="0" orientation="portrait" horizontalDpi="0" verticalDpi="0" copies="0"/>
  <headerFooter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358"/>
  <sheetViews>
    <sheetView workbookViewId="0"/>
  </sheetViews>
  <sheetFormatPr defaultRowHeight="13.9"/>
  <cols>
    <col min="1" max="1" width="28" style="1" customWidth="1"/>
    <col min="2" max="2" width="10.75" style="1" customWidth="1"/>
    <col min="3" max="3" width="14.5" style="1" customWidth="1"/>
    <col min="4" max="4" width="15.875" style="107" customWidth="1"/>
    <col min="5" max="5" width="16" style="1" customWidth="1"/>
    <col min="6" max="6" width="14" style="1" customWidth="1"/>
    <col min="7" max="7" width="20.625" style="1" customWidth="1"/>
    <col min="8" max="8" width="15.125" style="162" customWidth="1"/>
    <col min="9" max="9" width="17.875" style="1" customWidth="1"/>
    <col min="10" max="10" width="9" style="1" customWidth="1"/>
    <col min="11" max="11" width="15" style="1" customWidth="1"/>
    <col min="12" max="12" width="18.625" style="1" customWidth="1"/>
    <col min="13" max="1024" width="9" style="1" customWidth="1"/>
  </cols>
  <sheetData>
    <row r="1" spans="1:13" ht="19.5" customHeight="1">
      <c r="A1" s="43" t="s">
        <v>964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ht="20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ht="20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3" ht="20.10000000000000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3" ht="20.100000000000001" customHeight="1">
      <c r="A5" s="47" t="s">
        <v>965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3" ht="21.4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3" ht="57.4" customHeight="1">
      <c r="A7" s="51" t="s">
        <v>966</v>
      </c>
      <c r="B7" s="142"/>
      <c r="C7" s="142" t="s">
        <v>967</v>
      </c>
      <c r="D7" s="143" t="s">
        <v>37</v>
      </c>
      <c r="E7" s="144" t="s">
        <v>968</v>
      </c>
      <c r="F7" s="145" t="s">
        <v>969</v>
      </c>
      <c r="G7" s="144" t="s">
        <v>970</v>
      </c>
      <c r="H7" s="146" t="s">
        <v>969</v>
      </c>
      <c r="I7" s="144" t="s">
        <v>971</v>
      </c>
      <c r="J7" s="145" t="s">
        <v>972</v>
      </c>
      <c r="K7" s="144" t="s">
        <v>973</v>
      </c>
      <c r="L7" s="145" t="s">
        <v>972</v>
      </c>
      <c r="M7" s="147" t="s">
        <v>974</v>
      </c>
    </row>
    <row r="8" spans="1:13" ht="42.75">
      <c r="A8" s="148" t="s">
        <v>975</v>
      </c>
      <c r="B8" s="149"/>
      <c r="C8" s="149" t="s">
        <v>388</v>
      </c>
      <c r="D8" s="150" t="s">
        <v>976</v>
      </c>
      <c r="E8" s="151"/>
      <c r="F8" s="152"/>
      <c r="G8" s="151" t="s">
        <v>977</v>
      </c>
      <c r="H8" s="153" t="s">
        <v>978</v>
      </c>
      <c r="I8" s="151" t="s">
        <v>979</v>
      </c>
      <c r="J8" s="154" t="s">
        <v>980</v>
      </c>
      <c r="K8" s="151" t="s">
        <v>981</v>
      </c>
      <c r="L8" s="152"/>
    </row>
    <row r="9" spans="1:13" ht="85.5">
      <c r="A9" s="18" t="s">
        <v>982</v>
      </c>
      <c r="B9" s="155"/>
      <c r="C9" s="155" t="s">
        <v>123</v>
      </c>
      <c r="D9" s="150" t="s">
        <v>219</v>
      </c>
      <c r="E9" s="151" t="s">
        <v>983</v>
      </c>
      <c r="F9" s="154" t="s">
        <v>984</v>
      </c>
      <c r="G9" s="151" t="s">
        <v>985</v>
      </c>
      <c r="H9" s="154" t="s">
        <v>986</v>
      </c>
      <c r="I9" s="151" t="s">
        <v>985</v>
      </c>
      <c r="J9" s="154" t="s">
        <v>986</v>
      </c>
      <c r="K9" s="151" t="s">
        <v>981</v>
      </c>
      <c r="L9" s="152"/>
    </row>
    <row r="10" spans="1:13" ht="57">
      <c r="A10" s="18" t="s">
        <v>987</v>
      </c>
      <c r="B10" s="155"/>
      <c r="C10" s="155"/>
      <c r="D10" s="150" t="s">
        <v>219</v>
      </c>
      <c r="E10" s="151" t="s">
        <v>988</v>
      </c>
      <c r="F10" s="154" t="s">
        <v>984</v>
      </c>
      <c r="G10" s="151" t="s">
        <v>985</v>
      </c>
      <c r="H10" s="154" t="s">
        <v>986</v>
      </c>
      <c r="I10" s="151" t="s">
        <v>985</v>
      </c>
      <c r="J10" s="154" t="s">
        <v>986</v>
      </c>
      <c r="K10" s="151" t="s">
        <v>981</v>
      </c>
      <c r="L10" s="152"/>
    </row>
    <row r="11" spans="1:13" ht="57">
      <c r="A11" s="18" t="s">
        <v>989</v>
      </c>
      <c r="B11" s="155"/>
      <c r="C11" s="155" t="s">
        <v>77</v>
      </c>
      <c r="D11" s="150" t="s">
        <v>334</v>
      </c>
      <c r="E11" s="151"/>
      <c r="F11" s="152"/>
      <c r="G11" s="151" t="s">
        <v>990</v>
      </c>
      <c r="H11" s="153" t="s">
        <v>991</v>
      </c>
      <c r="I11" s="151" t="s">
        <v>981</v>
      </c>
      <c r="J11" s="152"/>
      <c r="K11" s="151"/>
      <c r="L11" s="152"/>
    </row>
    <row r="12" spans="1:13" ht="89.25">
      <c r="A12" s="18" t="s">
        <v>992</v>
      </c>
      <c r="B12" s="155"/>
      <c r="C12" s="155" t="s">
        <v>123</v>
      </c>
      <c r="D12" s="150" t="s">
        <v>125</v>
      </c>
      <c r="E12" s="151"/>
      <c r="F12" s="152"/>
      <c r="G12" s="151" t="s">
        <v>993</v>
      </c>
      <c r="H12" s="65" t="s">
        <v>994</v>
      </c>
      <c r="I12" s="151" t="s">
        <v>981</v>
      </c>
      <c r="J12" s="152"/>
      <c r="K12" s="151"/>
      <c r="L12" s="152"/>
    </row>
    <row r="13" spans="1:13" ht="72.75" customHeight="1">
      <c r="A13" s="18" t="s">
        <v>995</v>
      </c>
      <c r="B13" s="155"/>
      <c r="C13" s="155" t="s">
        <v>513</v>
      </c>
      <c r="D13" s="150" t="s">
        <v>976</v>
      </c>
      <c r="E13" s="151"/>
      <c r="F13" s="156"/>
      <c r="G13" s="151" t="s">
        <v>996</v>
      </c>
      <c r="H13" s="153" t="s">
        <v>997</v>
      </c>
      <c r="I13" s="151" t="s">
        <v>981</v>
      </c>
      <c r="J13" s="152"/>
      <c r="K13" s="151"/>
      <c r="L13" s="152"/>
    </row>
    <row r="14" spans="1:13" ht="95.1" customHeight="1">
      <c r="A14" s="18" t="s">
        <v>998</v>
      </c>
      <c r="B14" s="155"/>
      <c r="C14" s="155" t="s">
        <v>108</v>
      </c>
      <c r="D14" s="150" t="s">
        <v>334</v>
      </c>
      <c r="E14" s="151"/>
      <c r="F14" s="152"/>
      <c r="G14" s="151" t="s">
        <v>999</v>
      </c>
      <c r="H14" s="157" t="s">
        <v>1000</v>
      </c>
      <c r="I14" s="151" t="s">
        <v>981</v>
      </c>
      <c r="J14" s="152"/>
      <c r="K14" s="151"/>
      <c r="L14" s="152"/>
    </row>
    <row r="15" spans="1:13" ht="56.85" customHeight="1">
      <c r="A15" s="18" t="s">
        <v>1001</v>
      </c>
      <c r="B15" s="155" t="s">
        <v>1002</v>
      </c>
      <c r="C15" s="155" t="s">
        <v>77</v>
      </c>
      <c r="D15" s="150" t="s">
        <v>1003</v>
      </c>
      <c r="E15" s="151"/>
      <c r="F15" s="152"/>
      <c r="G15" s="151" t="s">
        <v>1004</v>
      </c>
      <c r="H15" s="158" t="s">
        <v>1005</v>
      </c>
      <c r="I15" s="151" t="s">
        <v>981</v>
      </c>
      <c r="J15" s="152"/>
      <c r="K15" s="151"/>
      <c r="L15" s="152"/>
    </row>
    <row r="16" spans="1:13" ht="54.2" customHeight="1">
      <c r="A16" s="155" t="s">
        <v>1006</v>
      </c>
      <c r="B16" s="155"/>
      <c r="C16" s="159" t="s">
        <v>1007</v>
      </c>
      <c r="D16" s="150" t="s">
        <v>1003</v>
      </c>
      <c r="E16" s="151"/>
      <c r="F16" s="152"/>
      <c r="G16" s="151" t="s">
        <v>1008</v>
      </c>
      <c r="H16" s="160"/>
      <c r="I16" s="151" t="s">
        <v>981</v>
      </c>
      <c r="J16" s="152"/>
      <c r="K16" s="151"/>
      <c r="L16" s="152"/>
    </row>
    <row r="17" spans="1:12" ht="57">
      <c r="A17" s="18" t="s">
        <v>1009</v>
      </c>
      <c r="B17" s="155"/>
      <c r="C17" s="155" t="s">
        <v>95</v>
      </c>
      <c r="D17" s="150" t="s">
        <v>334</v>
      </c>
      <c r="E17" s="151"/>
      <c r="F17" s="152"/>
      <c r="G17" s="151" t="s">
        <v>1010</v>
      </c>
      <c r="H17" s="157" t="s">
        <v>1011</v>
      </c>
      <c r="I17" s="151" t="s">
        <v>981</v>
      </c>
      <c r="J17" s="152"/>
      <c r="K17" s="151"/>
      <c r="L17" s="152"/>
    </row>
    <row r="18" spans="1:12" ht="91.35" customHeight="1">
      <c r="A18" s="18" t="s">
        <v>1012</v>
      </c>
      <c r="B18" s="155"/>
      <c r="C18" s="155" t="s">
        <v>95</v>
      </c>
      <c r="D18" s="150" t="s">
        <v>334</v>
      </c>
      <c r="E18" s="151"/>
      <c r="F18" s="152"/>
      <c r="G18" s="151" t="s">
        <v>1010</v>
      </c>
      <c r="H18" s="160" t="s">
        <v>1013</v>
      </c>
      <c r="I18" s="151" t="s">
        <v>981</v>
      </c>
      <c r="J18" s="152"/>
      <c r="K18" s="151"/>
      <c r="L18" s="152"/>
    </row>
    <row r="19" spans="1:12" ht="98.85" customHeight="1">
      <c r="A19" s="18" t="s">
        <v>1014</v>
      </c>
      <c r="B19" s="155" t="s">
        <v>1015</v>
      </c>
      <c r="C19" s="155"/>
      <c r="D19" s="150" t="s">
        <v>930</v>
      </c>
      <c r="E19" s="151"/>
      <c r="F19" s="152"/>
      <c r="G19" s="151" t="s">
        <v>1016</v>
      </c>
      <c r="H19" s="65" t="s">
        <v>1017</v>
      </c>
      <c r="I19" s="151" t="s">
        <v>1018</v>
      </c>
      <c r="J19" s="152"/>
      <c r="K19" s="151"/>
      <c r="L19" s="152"/>
    </row>
    <row r="20" spans="1:12" ht="399">
      <c r="A20" s="18" t="s">
        <v>1019</v>
      </c>
      <c r="B20" s="155" t="s">
        <v>1020</v>
      </c>
      <c r="C20" s="155"/>
      <c r="D20" s="150" t="s">
        <v>930</v>
      </c>
      <c r="E20" s="151"/>
      <c r="F20" s="152"/>
      <c r="G20" s="151" t="s">
        <v>1016</v>
      </c>
      <c r="H20" s="65" t="s">
        <v>1017</v>
      </c>
      <c r="I20" s="151" t="s">
        <v>1021</v>
      </c>
      <c r="J20" s="152"/>
      <c r="K20" s="151"/>
      <c r="L20" s="152"/>
    </row>
    <row r="21" spans="1:12" ht="60" customHeight="1">
      <c r="A21" s="18" t="s">
        <v>1022</v>
      </c>
      <c r="B21" s="155" t="s">
        <v>1023</v>
      </c>
      <c r="C21" s="155"/>
      <c r="D21" s="150" t="s">
        <v>930</v>
      </c>
      <c r="E21" s="151"/>
      <c r="F21" s="152"/>
      <c r="G21" s="151" t="s">
        <v>1016</v>
      </c>
      <c r="H21" s="65" t="s">
        <v>1017</v>
      </c>
      <c r="I21" s="151" t="s">
        <v>1024</v>
      </c>
      <c r="J21" s="152"/>
      <c r="K21" s="151"/>
      <c r="L21" s="152"/>
    </row>
    <row r="22" spans="1:12" ht="153" customHeight="1">
      <c r="A22" s="18" t="s">
        <v>1025</v>
      </c>
      <c r="B22" s="155"/>
      <c r="C22" s="155"/>
      <c r="D22" s="150" t="s">
        <v>930</v>
      </c>
      <c r="E22" s="151"/>
      <c r="F22" s="152"/>
      <c r="G22" s="151"/>
      <c r="H22" s="65" t="s">
        <v>1017</v>
      </c>
      <c r="I22" s="151" t="s">
        <v>1026</v>
      </c>
      <c r="J22" s="152"/>
      <c r="K22" s="151"/>
      <c r="L22" s="152"/>
    </row>
    <row r="23" spans="1:12" ht="63" customHeight="1">
      <c r="A23" s="18" t="s">
        <v>1027</v>
      </c>
      <c r="B23" s="155"/>
      <c r="C23" s="155"/>
      <c r="D23" s="150"/>
      <c r="E23" s="151"/>
      <c r="F23" s="152"/>
      <c r="G23" s="151"/>
      <c r="H23" s="65" t="s">
        <v>1017</v>
      </c>
      <c r="I23" s="151"/>
      <c r="J23" s="152"/>
      <c r="K23" s="151"/>
      <c r="L23" s="152"/>
    </row>
    <row r="24" spans="1:12" ht="68.25" customHeight="1">
      <c r="A24" s="18" t="s">
        <v>1028</v>
      </c>
      <c r="B24" s="155"/>
      <c r="C24" s="155" t="s">
        <v>227</v>
      </c>
      <c r="D24" s="150" t="s">
        <v>334</v>
      </c>
      <c r="E24" s="151"/>
      <c r="F24" s="152"/>
      <c r="G24" s="151" t="s">
        <v>1029</v>
      </c>
      <c r="H24" s="158" t="s">
        <v>1030</v>
      </c>
      <c r="I24" s="151" t="s">
        <v>981</v>
      </c>
      <c r="J24" s="152"/>
      <c r="K24" s="151"/>
      <c r="L24" s="152"/>
    </row>
    <row r="25" spans="1:12" ht="50.25" customHeight="1">
      <c r="A25" s="18" t="s">
        <v>1031</v>
      </c>
      <c r="B25" s="155"/>
      <c r="C25" s="155"/>
      <c r="D25" s="150" t="s">
        <v>930</v>
      </c>
      <c r="E25" s="151"/>
      <c r="F25" s="152"/>
      <c r="G25" s="151"/>
      <c r="H25" s="157" t="s">
        <v>1032</v>
      </c>
      <c r="I25" s="151" t="s">
        <v>981</v>
      </c>
      <c r="J25" s="152"/>
      <c r="K25" s="151"/>
      <c r="L25" s="152"/>
    </row>
    <row r="26" spans="1:12" ht="54" customHeight="1">
      <c r="A26" s="18" t="s">
        <v>1033</v>
      </c>
      <c r="B26" s="155"/>
      <c r="C26" s="155"/>
      <c r="D26" s="150" t="s">
        <v>930</v>
      </c>
      <c r="E26" s="151"/>
      <c r="F26" s="152"/>
      <c r="G26" s="151"/>
      <c r="H26" s="157" t="s">
        <v>1032</v>
      </c>
      <c r="I26" s="151" t="s">
        <v>981</v>
      </c>
      <c r="J26" s="152"/>
      <c r="K26" s="151"/>
      <c r="L26" s="152"/>
    </row>
    <row r="27" spans="1:12" ht="102">
      <c r="A27" s="18" t="s">
        <v>1034</v>
      </c>
      <c r="B27" s="155"/>
      <c r="C27" s="155"/>
      <c r="D27" s="150" t="s">
        <v>930</v>
      </c>
      <c r="E27" s="151"/>
      <c r="F27" s="152"/>
      <c r="G27" s="151"/>
      <c r="H27" s="65" t="s">
        <v>1032</v>
      </c>
      <c r="I27" s="151" t="s">
        <v>981</v>
      </c>
      <c r="J27" s="152"/>
      <c r="K27" s="151"/>
      <c r="L27" s="152"/>
    </row>
    <row r="28" spans="1:12" ht="59.25" customHeight="1">
      <c r="A28" s="18" t="s">
        <v>1035</v>
      </c>
      <c r="B28" s="155"/>
      <c r="C28" s="155"/>
      <c r="D28" s="150" t="s">
        <v>930</v>
      </c>
      <c r="E28" s="151"/>
      <c r="F28" s="152"/>
      <c r="G28" s="151"/>
      <c r="H28" s="157" t="s">
        <v>1032</v>
      </c>
      <c r="I28" s="151" t="s">
        <v>981</v>
      </c>
      <c r="J28" s="152"/>
      <c r="K28" s="151"/>
      <c r="L28" s="152"/>
    </row>
    <row r="29" spans="1:12" ht="64.5" customHeight="1">
      <c r="A29" s="18" t="s">
        <v>1036</v>
      </c>
      <c r="B29" s="155"/>
      <c r="C29" s="155"/>
      <c r="D29" s="150" t="s">
        <v>930</v>
      </c>
      <c r="E29" s="151"/>
      <c r="F29" s="152"/>
      <c r="G29" s="151"/>
      <c r="H29" s="65" t="s">
        <v>1032</v>
      </c>
      <c r="I29" s="151" t="s">
        <v>981</v>
      </c>
      <c r="J29" s="152"/>
      <c r="K29" s="151"/>
      <c r="L29" s="152"/>
    </row>
    <row r="30" spans="1:12" ht="58.5" customHeight="1">
      <c r="A30" s="18" t="s">
        <v>1037</v>
      </c>
      <c r="B30" s="155"/>
      <c r="C30" s="155"/>
      <c r="D30" s="150" t="s">
        <v>930</v>
      </c>
      <c r="E30" s="151"/>
      <c r="F30" s="152"/>
      <c r="G30" s="151"/>
      <c r="H30" s="157" t="s">
        <v>1032</v>
      </c>
      <c r="I30" s="151" t="s">
        <v>981</v>
      </c>
      <c r="J30" s="152"/>
      <c r="K30" s="151"/>
      <c r="L30" s="152"/>
    </row>
    <row r="31" spans="1:12" ht="75.75" customHeight="1">
      <c r="A31" s="18" t="s">
        <v>1038</v>
      </c>
      <c r="B31" s="155"/>
      <c r="C31" s="155"/>
      <c r="D31" s="150" t="s">
        <v>930</v>
      </c>
      <c r="E31" s="151"/>
      <c r="F31" s="152"/>
      <c r="G31" s="151"/>
      <c r="H31" s="157" t="s">
        <v>1032</v>
      </c>
      <c r="I31" s="151" t="s">
        <v>981</v>
      </c>
      <c r="J31" s="152"/>
      <c r="K31" s="151"/>
      <c r="L31" s="152"/>
    </row>
    <row r="32" spans="1:12" ht="62.25" customHeight="1">
      <c r="A32" s="18" t="s">
        <v>1039</v>
      </c>
      <c r="B32" s="155"/>
      <c r="C32" s="155"/>
      <c r="D32" s="150" t="s">
        <v>930</v>
      </c>
      <c r="E32" s="151"/>
      <c r="F32" s="152"/>
      <c r="G32" s="151"/>
      <c r="H32" s="157" t="s">
        <v>1032</v>
      </c>
      <c r="I32" s="151" t="s">
        <v>981</v>
      </c>
      <c r="J32" s="152"/>
      <c r="K32" s="151"/>
      <c r="L32" s="152"/>
    </row>
    <row r="33" spans="1:12" ht="72.75" customHeight="1">
      <c r="A33" s="18" t="s">
        <v>1040</v>
      </c>
      <c r="B33" s="155"/>
      <c r="C33" s="155"/>
      <c r="D33" s="150" t="s">
        <v>930</v>
      </c>
      <c r="E33" s="151"/>
      <c r="F33" s="152"/>
      <c r="G33" s="151"/>
      <c r="H33" s="157" t="s">
        <v>1032</v>
      </c>
      <c r="I33" s="151" t="s">
        <v>981</v>
      </c>
      <c r="J33" s="152"/>
      <c r="K33" s="151"/>
      <c r="L33" s="152"/>
    </row>
    <row r="34" spans="1:12" ht="62.25" customHeight="1">
      <c r="A34" s="18" t="s">
        <v>1041</v>
      </c>
      <c r="B34" s="155"/>
      <c r="C34" s="155"/>
      <c r="D34" s="150" t="s">
        <v>930</v>
      </c>
      <c r="E34" s="151"/>
      <c r="F34" s="152"/>
      <c r="G34" s="151"/>
      <c r="H34" s="157" t="s">
        <v>1032</v>
      </c>
      <c r="I34" s="151" t="s">
        <v>981</v>
      </c>
      <c r="J34" s="152"/>
      <c r="K34" s="151"/>
      <c r="L34" s="152"/>
    </row>
    <row r="35" spans="1:12" ht="71.25" customHeight="1">
      <c r="A35" s="18" t="s">
        <v>1042</v>
      </c>
      <c r="B35" s="155"/>
      <c r="C35" s="155"/>
      <c r="D35" s="150" t="s">
        <v>930</v>
      </c>
      <c r="E35" s="151"/>
      <c r="F35" s="152"/>
      <c r="G35" s="151"/>
      <c r="H35" s="157" t="s">
        <v>1032</v>
      </c>
      <c r="I35" s="151" t="s">
        <v>981</v>
      </c>
      <c r="J35" s="152"/>
      <c r="K35" s="151"/>
      <c r="L35" s="152"/>
    </row>
    <row r="36" spans="1:12" ht="71.25" customHeight="1">
      <c r="A36" s="18" t="s">
        <v>1043</v>
      </c>
      <c r="B36" s="155"/>
      <c r="C36" s="155"/>
      <c r="D36" s="150" t="s">
        <v>930</v>
      </c>
      <c r="E36" s="151"/>
      <c r="F36" s="152"/>
      <c r="G36" s="151"/>
      <c r="H36" s="157" t="s">
        <v>1032</v>
      </c>
      <c r="I36" s="151" t="s">
        <v>981</v>
      </c>
      <c r="J36" s="152"/>
      <c r="K36" s="151"/>
      <c r="L36" s="152"/>
    </row>
    <row r="37" spans="1:12" ht="129" customHeight="1">
      <c r="A37" s="18" t="s">
        <v>1044</v>
      </c>
      <c r="B37" s="155"/>
      <c r="C37" s="155"/>
      <c r="D37" s="150" t="s">
        <v>334</v>
      </c>
      <c r="E37" s="151"/>
      <c r="F37" s="152"/>
      <c r="G37" s="151"/>
      <c r="H37" s="157" t="s">
        <v>1032</v>
      </c>
      <c r="I37" s="151" t="s">
        <v>981</v>
      </c>
      <c r="J37" s="152"/>
      <c r="K37" s="151"/>
      <c r="L37" s="152"/>
    </row>
    <row r="38" spans="1:12" ht="57">
      <c r="A38" s="18" t="s">
        <v>1045</v>
      </c>
      <c r="B38" s="155"/>
      <c r="C38" s="155"/>
      <c r="D38" s="150" t="s">
        <v>334</v>
      </c>
      <c r="E38" s="151"/>
      <c r="F38" s="152"/>
      <c r="G38" s="151"/>
      <c r="H38" s="157" t="s">
        <v>1032</v>
      </c>
      <c r="I38" s="151" t="s">
        <v>981</v>
      </c>
      <c r="J38" s="152"/>
      <c r="K38" s="151"/>
      <c r="L38" s="152"/>
    </row>
    <row r="39" spans="1:12" ht="59.25" customHeight="1">
      <c r="A39" s="18" t="s">
        <v>1046</v>
      </c>
      <c r="B39" s="155"/>
      <c r="C39" s="155"/>
      <c r="D39" s="150" t="s">
        <v>334</v>
      </c>
      <c r="E39" s="151"/>
      <c r="F39" s="152"/>
      <c r="G39" s="151"/>
      <c r="H39" s="157" t="s">
        <v>1032</v>
      </c>
      <c r="I39" s="151" t="s">
        <v>981</v>
      </c>
      <c r="J39" s="152"/>
      <c r="K39" s="151"/>
      <c r="L39" s="152"/>
    </row>
    <row r="40" spans="1:12" ht="155.85" customHeight="1">
      <c r="A40" s="18" t="s">
        <v>1047</v>
      </c>
      <c r="B40" s="155"/>
      <c r="C40" s="155"/>
      <c r="D40" s="150" t="s">
        <v>334</v>
      </c>
      <c r="E40" s="151"/>
      <c r="F40" s="152"/>
      <c r="G40" s="151"/>
      <c r="H40" s="157" t="s">
        <v>1032</v>
      </c>
      <c r="I40" s="151" t="s">
        <v>981</v>
      </c>
      <c r="J40" s="152"/>
      <c r="K40" s="151"/>
      <c r="L40" s="152"/>
    </row>
    <row r="41" spans="1:12" ht="66.2" customHeight="1">
      <c r="A41" s="18" t="s">
        <v>1048</v>
      </c>
      <c r="B41" s="155"/>
      <c r="C41" s="155"/>
      <c r="D41" s="150" t="s">
        <v>1049</v>
      </c>
      <c r="E41" s="151"/>
      <c r="F41" s="152"/>
      <c r="G41" s="151"/>
      <c r="H41" s="157" t="s">
        <v>1032</v>
      </c>
      <c r="I41" s="151" t="s">
        <v>981</v>
      </c>
      <c r="J41" s="152"/>
      <c r="K41" s="151"/>
      <c r="L41" s="152"/>
    </row>
    <row r="42" spans="1:12" ht="73.5" customHeight="1">
      <c r="A42" s="18" t="s">
        <v>1050</v>
      </c>
      <c r="B42" s="155"/>
      <c r="C42" s="155"/>
      <c r="D42" s="150" t="s">
        <v>976</v>
      </c>
      <c r="E42" s="151"/>
      <c r="F42" s="152"/>
      <c r="G42" s="151"/>
      <c r="H42" s="157" t="s">
        <v>1032</v>
      </c>
      <c r="I42" s="151" t="s">
        <v>981</v>
      </c>
      <c r="J42" s="152"/>
      <c r="K42" s="151"/>
      <c r="L42" s="152"/>
    </row>
    <row r="43" spans="1:12" ht="98.25" customHeight="1">
      <c r="A43" s="18" t="s">
        <v>1051</v>
      </c>
      <c r="B43" s="155"/>
      <c r="C43" s="155"/>
      <c r="D43" s="150" t="s">
        <v>976</v>
      </c>
      <c r="E43" s="151"/>
      <c r="F43" s="152"/>
      <c r="G43" s="151"/>
      <c r="H43" s="157" t="s">
        <v>1032</v>
      </c>
      <c r="I43" s="151" t="s">
        <v>981</v>
      </c>
      <c r="J43" s="152"/>
      <c r="K43" s="151"/>
      <c r="L43" s="152"/>
    </row>
    <row r="44" spans="1:12" ht="14.25">
      <c r="A44" s="18" t="s">
        <v>1052</v>
      </c>
      <c r="B44" s="155"/>
      <c r="C44" s="155"/>
      <c r="D44" s="150" t="s">
        <v>976</v>
      </c>
      <c r="E44" s="151"/>
      <c r="F44" s="152"/>
      <c r="G44" s="151"/>
      <c r="H44" s="157" t="s">
        <v>1032</v>
      </c>
      <c r="I44" s="151" t="s">
        <v>981</v>
      </c>
      <c r="J44" s="152"/>
      <c r="K44" s="151"/>
      <c r="L44" s="152"/>
    </row>
    <row r="45" spans="1:12" ht="85.5">
      <c r="A45" s="18" t="s">
        <v>1053</v>
      </c>
      <c r="B45" s="155"/>
      <c r="C45" s="155"/>
      <c r="D45" s="150" t="s">
        <v>976</v>
      </c>
      <c r="E45" s="151"/>
      <c r="F45" s="152"/>
      <c r="G45" s="151"/>
      <c r="H45" s="157" t="s">
        <v>1032</v>
      </c>
      <c r="I45" s="151" t="s">
        <v>981</v>
      </c>
      <c r="J45" s="152"/>
      <c r="K45" s="151"/>
      <c r="L45" s="152"/>
    </row>
    <row r="46" spans="1:12" ht="89.45" customHeight="1">
      <c r="A46" s="18" t="s">
        <v>1054</v>
      </c>
      <c r="B46" s="155"/>
      <c r="C46" s="155"/>
      <c r="D46" s="150" t="s">
        <v>976</v>
      </c>
      <c r="E46" s="151"/>
      <c r="F46" s="152"/>
      <c r="G46" s="151"/>
      <c r="H46" s="157" t="s">
        <v>1032</v>
      </c>
      <c r="I46" s="151" t="s">
        <v>981</v>
      </c>
      <c r="J46" s="152"/>
      <c r="K46" s="151"/>
      <c r="L46" s="152"/>
    </row>
    <row r="47" spans="1:12" ht="42.75">
      <c r="A47" s="18" t="s">
        <v>1055</v>
      </c>
      <c r="B47" s="155"/>
      <c r="C47" s="155"/>
      <c r="D47" s="150" t="s">
        <v>976</v>
      </c>
      <c r="E47" s="151"/>
      <c r="F47" s="152"/>
      <c r="G47" s="151"/>
      <c r="H47" s="157" t="s">
        <v>1056</v>
      </c>
      <c r="I47" s="151" t="s">
        <v>981</v>
      </c>
      <c r="J47" s="152"/>
      <c r="K47" s="151"/>
      <c r="L47" s="152"/>
    </row>
    <row r="48" spans="1:12" ht="42.75">
      <c r="A48" s="18" t="s">
        <v>1057</v>
      </c>
      <c r="B48" s="155"/>
      <c r="C48" s="155"/>
      <c r="D48" s="150" t="s">
        <v>976</v>
      </c>
      <c r="E48" s="151"/>
      <c r="F48" s="152"/>
      <c r="G48" s="151" t="s">
        <v>1058</v>
      </c>
      <c r="H48" s="157" t="s">
        <v>1059</v>
      </c>
      <c r="I48" s="151" t="s">
        <v>981</v>
      </c>
      <c r="J48" s="152"/>
      <c r="K48" s="151"/>
      <c r="L48" s="152"/>
    </row>
    <row r="49" spans="1:12" ht="42.75">
      <c r="A49" s="18" t="s">
        <v>1060</v>
      </c>
      <c r="B49" s="155"/>
      <c r="C49" s="155"/>
      <c r="D49" s="150" t="s">
        <v>976</v>
      </c>
      <c r="E49" s="151"/>
      <c r="F49" s="152"/>
      <c r="G49" s="151" t="s">
        <v>1061</v>
      </c>
      <c r="H49" s="157" t="s">
        <v>1059</v>
      </c>
      <c r="I49" s="151" t="s">
        <v>981</v>
      </c>
      <c r="J49" s="152"/>
      <c r="K49" s="151"/>
      <c r="L49" s="152"/>
    </row>
    <row r="50" spans="1:12" ht="128.25">
      <c r="A50" s="18" t="s">
        <v>1062</v>
      </c>
      <c r="B50" s="155" t="s">
        <v>1063</v>
      </c>
      <c r="C50" s="155" t="s">
        <v>513</v>
      </c>
      <c r="D50" s="150" t="s">
        <v>118</v>
      </c>
      <c r="E50" s="151"/>
      <c r="F50" s="152"/>
      <c r="G50" s="151" t="s">
        <v>1064</v>
      </c>
      <c r="H50" s="157" t="s">
        <v>1065</v>
      </c>
      <c r="I50" s="151" t="s">
        <v>981</v>
      </c>
      <c r="J50" s="152"/>
      <c r="K50" s="151"/>
      <c r="L50" s="152"/>
    </row>
    <row r="51" spans="1:12" ht="89.25">
      <c r="A51" s="18" t="s">
        <v>1066</v>
      </c>
      <c r="B51" s="161" t="s">
        <v>1067</v>
      </c>
      <c r="C51" s="161"/>
      <c r="D51" s="150" t="s">
        <v>118</v>
      </c>
      <c r="E51" s="151"/>
      <c r="F51" s="152"/>
      <c r="G51" s="151" t="s">
        <v>827</v>
      </c>
      <c r="H51" s="158" t="s">
        <v>1068</v>
      </c>
      <c r="I51" s="151" t="s">
        <v>981</v>
      </c>
      <c r="J51" s="152"/>
      <c r="K51" s="151"/>
      <c r="L51" s="152"/>
    </row>
    <row r="52" spans="1:12" ht="63.75">
      <c r="A52" s="18" t="s">
        <v>1069</v>
      </c>
      <c r="B52" s="155"/>
      <c r="C52" s="155"/>
      <c r="D52" s="150" t="s">
        <v>930</v>
      </c>
      <c r="E52" s="151"/>
      <c r="F52" s="152"/>
      <c r="G52" s="151" t="s">
        <v>1070</v>
      </c>
      <c r="H52" s="158" t="s">
        <v>1071</v>
      </c>
      <c r="I52" s="151" t="s">
        <v>981</v>
      </c>
      <c r="J52" s="152"/>
      <c r="K52" s="151"/>
      <c r="L52" s="152"/>
    </row>
    <row r="53" spans="1:12" ht="114">
      <c r="A53" s="18" t="s">
        <v>1072</v>
      </c>
      <c r="B53" s="155" t="s">
        <v>1073</v>
      </c>
      <c r="C53" s="155" t="s">
        <v>85</v>
      </c>
      <c r="D53" s="150" t="s">
        <v>118</v>
      </c>
      <c r="E53" s="151"/>
      <c r="F53" s="152"/>
      <c r="G53" s="1" t="s">
        <v>1074</v>
      </c>
      <c r="H53" s="65" t="s">
        <v>1075</v>
      </c>
      <c r="I53" s="151"/>
      <c r="J53" s="152"/>
      <c r="K53" s="151"/>
      <c r="L53" s="152"/>
    </row>
    <row r="54" spans="1:12" ht="199.5">
      <c r="A54" s="18" t="s">
        <v>1076</v>
      </c>
      <c r="B54" s="155" t="s">
        <v>1077</v>
      </c>
      <c r="C54" s="150" t="s">
        <v>181</v>
      </c>
      <c r="D54" s="150" t="s">
        <v>118</v>
      </c>
      <c r="E54" s="151"/>
      <c r="F54" s="152"/>
      <c r="G54" s="151" t="s">
        <v>1078</v>
      </c>
      <c r="H54" s="65" t="s">
        <v>1079</v>
      </c>
      <c r="I54" s="151"/>
      <c r="J54" s="152"/>
      <c r="K54" s="151"/>
      <c r="L54" s="152"/>
    </row>
    <row r="55" spans="1:12" ht="28.5">
      <c r="A55" s="18" t="s">
        <v>1080</v>
      </c>
      <c r="B55" s="155"/>
      <c r="C55" s="155"/>
      <c r="D55" s="150" t="s">
        <v>1003</v>
      </c>
      <c r="E55" s="151"/>
      <c r="F55" s="152"/>
      <c r="G55" s="151" t="s">
        <v>1081</v>
      </c>
      <c r="H55" s="157" t="s">
        <v>1082</v>
      </c>
      <c r="I55" s="151"/>
      <c r="J55" s="152"/>
      <c r="K55" s="151"/>
      <c r="L55" s="152"/>
    </row>
    <row r="56" spans="1:12" ht="42.75">
      <c r="A56" s="18" t="s">
        <v>1083</v>
      </c>
      <c r="B56" s="155"/>
      <c r="C56" s="155"/>
      <c r="D56" s="150" t="s">
        <v>1003</v>
      </c>
      <c r="E56" s="151"/>
      <c r="F56" s="152"/>
      <c r="G56" s="151" t="s">
        <v>1084</v>
      </c>
      <c r="H56" s="157" t="s">
        <v>1085</v>
      </c>
      <c r="I56" s="151"/>
      <c r="J56" s="152"/>
      <c r="K56" s="151"/>
      <c r="L56" s="152"/>
    </row>
    <row r="57" spans="1:12" ht="57">
      <c r="A57" s="18" t="s">
        <v>1086</v>
      </c>
      <c r="B57" s="155"/>
      <c r="C57" s="155"/>
      <c r="D57" s="150" t="s">
        <v>1003</v>
      </c>
      <c r="E57" s="151"/>
      <c r="F57" s="152"/>
      <c r="G57" s="151" t="s">
        <v>1087</v>
      </c>
      <c r="H57" s="157" t="s">
        <v>1088</v>
      </c>
      <c r="I57" s="151"/>
      <c r="J57" s="152"/>
      <c r="K57" s="151"/>
      <c r="L57" s="152"/>
    </row>
    <row r="58" spans="1:12" ht="28.5">
      <c r="A58" s="18" t="s">
        <v>1089</v>
      </c>
      <c r="B58" s="155"/>
      <c r="C58" s="155"/>
      <c r="D58" s="150" t="s">
        <v>1003</v>
      </c>
      <c r="E58" s="151"/>
      <c r="F58" s="152"/>
      <c r="G58" s="151" t="s">
        <v>1090</v>
      </c>
      <c r="H58" s="157" t="s">
        <v>1091</v>
      </c>
      <c r="I58" s="151"/>
      <c r="J58" s="152"/>
      <c r="K58" s="151"/>
      <c r="L58" s="152"/>
    </row>
    <row r="59" spans="1:12" ht="28.5">
      <c r="A59" s="18" t="s">
        <v>1092</v>
      </c>
      <c r="B59" s="155"/>
      <c r="C59" s="155"/>
      <c r="D59" s="150" t="s">
        <v>1003</v>
      </c>
      <c r="E59" s="151"/>
      <c r="F59" s="152"/>
      <c r="G59" s="151" t="s">
        <v>1093</v>
      </c>
      <c r="H59" s="157" t="s">
        <v>1094</v>
      </c>
      <c r="I59" s="151"/>
      <c r="J59" s="152"/>
      <c r="K59" s="151"/>
      <c r="L59" s="152"/>
    </row>
    <row r="60" spans="1:12" ht="28.5">
      <c r="A60" s="18" t="s">
        <v>1095</v>
      </c>
      <c r="B60" s="155"/>
      <c r="C60" s="155"/>
      <c r="D60" s="150" t="s">
        <v>1003</v>
      </c>
      <c r="E60" s="151"/>
      <c r="F60" s="152"/>
      <c r="G60" s="151"/>
      <c r="H60" s="157"/>
      <c r="I60" s="151"/>
      <c r="J60" s="152"/>
      <c r="K60" s="151"/>
      <c r="L60" s="152"/>
    </row>
    <row r="61" spans="1:12" ht="14.25">
      <c r="A61" s="18" t="s">
        <v>1096</v>
      </c>
      <c r="B61" s="155"/>
      <c r="C61" s="155"/>
      <c r="D61" s="150" t="s">
        <v>1003</v>
      </c>
      <c r="E61" s="151"/>
      <c r="F61" s="152"/>
      <c r="G61" s="151"/>
      <c r="H61" s="157"/>
      <c r="I61" s="151"/>
      <c r="J61" s="152"/>
      <c r="K61" s="151"/>
      <c r="L61" s="152"/>
    </row>
    <row r="62" spans="1:12" ht="409.5">
      <c r="A62" s="18" t="s">
        <v>1097</v>
      </c>
      <c r="B62" s="155" t="s">
        <v>1098</v>
      </c>
      <c r="C62" s="155"/>
      <c r="D62" s="150" t="s">
        <v>1003</v>
      </c>
      <c r="E62" s="151"/>
      <c r="F62" s="152"/>
      <c r="G62" s="151" t="s">
        <v>1099</v>
      </c>
      <c r="H62" s="158" t="s">
        <v>1100</v>
      </c>
      <c r="I62" s="151"/>
      <c r="J62" s="152"/>
      <c r="K62" s="151"/>
      <c r="L62" s="152"/>
    </row>
    <row r="63" spans="1:12" ht="199.5">
      <c r="A63" s="18" t="s">
        <v>1101</v>
      </c>
      <c r="B63" s="155" t="s">
        <v>1102</v>
      </c>
      <c r="C63" s="155"/>
      <c r="D63" s="150" t="s">
        <v>1003</v>
      </c>
      <c r="E63" s="151"/>
      <c r="F63" s="152"/>
      <c r="G63" s="151" t="s">
        <v>1103</v>
      </c>
      <c r="H63" s="158" t="s">
        <v>1104</v>
      </c>
      <c r="I63" s="151"/>
      <c r="J63" s="152"/>
      <c r="K63" s="151"/>
      <c r="L63" s="152"/>
    </row>
    <row r="64" spans="1:12" ht="76.5">
      <c r="A64" s="18" t="s">
        <v>1105</v>
      </c>
      <c r="B64" s="155"/>
      <c r="C64" s="155"/>
      <c r="D64" s="150" t="s">
        <v>1003</v>
      </c>
      <c r="E64" s="151"/>
      <c r="F64" s="152"/>
      <c r="G64" s="151" t="s">
        <v>1106</v>
      </c>
      <c r="H64" s="158" t="s">
        <v>1107</v>
      </c>
      <c r="I64" s="151"/>
      <c r="J64" s="152"/>
      <c r="K64" s="151"/>
      <c r="L64" s="152"/>
    </row>
    <row r="65" spans="1:12" ht="63.75">
      <c r="A65" s="1" t="s">
        <v>1108</v>
      </c>
      <c r="D65" s="150" t="s">
        <v>1003</v>
      </c>
      <c r="G65" s="1" t="s">
        <v>1109</v>
      </c>
      <c r="H65" s="65" t="s">
        <v>1110</v>
      </c>
      <c r="I65" s="151"/>
      <c r="J65" s="152"/>
      <c r="K65" s="151"/>
      <c r="L65" s="152"/>
    </row>
    <row r="66" spans="1:12" ht="76.5">
      <c r="A66" s="1" t="s">
        <v>1111</v>
      </c>
      <c r="D66" s="150" t="s">
        <v>1003</v>
      </c>
      <c r="G66" s="1" t="s">
        <v>1112</v>
      </c>
      <c r="H66" s="65" t="s">
        <v>1113</v>
      </c>
      <c r="I66" s="151"/>
      <c r="J66" s="152"/>
      <c r="K66" s="151"/>
      <c r="L66" s="152"/>
    </row>
    <row r="67" spans="1:12" ht="19.899999999999999" customHeight="1">
      <c r="D67" s="150" t="s">
        <v>976</v>
      </c>
      <c r="H67" s="65"/>
    </row>
    <row r="68" spans="1:12" ht="33.75" customHeight="1">
      <c r="A68" s="1" t="s">
        <v>1114</v>
      </c>
      <c r="B68" s="13" t="s">
        <v>1115</v>
      </c>
      <c r="C68" s="13"/>
      <c r="D68" s="13"/>
      <c r="E68" s="13"/>
      <c r="F68" s="13"/>
      <c r="G68" s="13"/>
    </row>
    <row r="69" spans="1:12" ht="19.899999999999999" customHeight="1">
      <c r="B69" s="163" t="s">
        <v>1116</v>
      </c>
      <c r="C69" s="163"/>
      <c r="D69" s="163"/>
      <c r="E69" s="163"/>
      <c r="F69" s="163"/>
      <c r="G69" s="163"/>
    </row>
    <row r="70" spans="1:12" ht="19.899999999999999" customHeight="1">
      <c r="B70" s="13" t="s">
        <v>1117</v>
      </c>
      <c r="C70" s="13"/>
      <c r="D70" s="13"/>
      <c r="E70" s="13"/>
      <c r="F70" s="13"/>
      <c r="G70" s="13"/>
    </row>
    <row r="71" spans="1:12" ht="19.899999999999999" customHeight="1">
      <c r="B71" s="13" t="s">
        <v>1118</v>
      </c>
      <c r="C71" s="13"/>
      <c r="D71" s="13"/>
      <c r="E71" s="13"/>
      <c r="F71" s="13"/>
      <c r="G71" s="13"/>
    </row>
    <row r="72" spans="1:12" ht="14.25">
      <c r="D72" s="150" t="s">
        <v>930</v>
      </c>
    </row>
    <row r="1048336" ht="12.75" customHeight="1"/>
    <row r="1048337" ht="12.75" customHeight="1"/>
    <row r="1048338" ht="12.75" customHeight="1"/>
    <row r="1048339" ht="12.75" customHeight="1"/>
    <row r="1048340" ht="12.75" customHeight="1"/>
    <row r="1048341" ht="12.75" customHeight="1"/>
    <row r="1048342" ht="12.75" customHeight="1"/>
    <row r="1048343" ht="12.75" customHeight="1"/>
    <row r="1048344" ht="12.75" customHeight="1"/>
    <row r="1048345" ht="12.75" customHeight="1"/>
    <row r="1048346" ht="12.75" customHeight="1"/>
    <row r="1048347" ht="12.75" customHeight="1"/>
    <row r="1048348" ht="12.75" customHeight="1"/>
    <row r="1048349" ht="12.75" customHeight="1"/>
    <row r="1048350" ht="12.75" customHeight="1"/>
    <row r="1048351" ht="12.75" customHeight="1"/>
    <row r="1048352" ht="12.75" customHeight="1"/>
    <row r="1048353" ht="12.75" customHeight="1"/>
    <row r="1048354" ht="12.75" customHeight="1"/>
    <row r="1048355" ht="12.75" customHeight="1"/>
    <row r="1048356" ht="12.75" customHeight="1"/>
    <row r="1048357" ht="12.75" customHeight="1"/>
    <row r="1048358" ht="12.75" customHeight="1"/>
  </sheetData>
  <mergeCells count="10">
    <mergeCell ref="B68:G68"/>
    <mergeCell ref="B69:G69"/>
    <mergeCell ref="B70:G70"/>
    <mergeCell ref="B71:G71"/>
    <mergeCell ref="A1:K1"/>
    <mergeCell ref="A2:K2"/>
    <mergeCell ref="A3:K3"/>
    <mergeCell ref="A4:K4"/>
    <mergeCell ref="A5:K5"/>
    <mergeCell ref="A6:K6"/>
  </mergeCells>
  <hyperlinks>
    <hyperlink ref="H8" r:id="rId1"/>
    <hyperlink ref="J8" r:id="rId2"/>
    <hyperlink ref="F9" r:id="rId3"/>
    <hyperlink ref="H9" r:id="rId4"/>
    <hyperlink ref="J9" r:id="rId5"/>
    <hyperlink ref="F10" r:id="rId6"/>
    <hyperlink ref="H10" r:id="rId7"/>
    <hyperlink ref="J10" r:id="rId8"/>
    <hyperlink ref="H11" r:id="rId9"/>
    <hyperlink ref="H12" r:id="rId10"/>
    <hyperlink ref="H13" r:id="rId11"/>
    <hyperlink ref="H14" r:id="rId12"/>
    <hyperlink ref="H15" r:id="rId13"/>
    <hyperlink ref="C16" r:id="rId14"/>
    <hyperlink ref="H17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50" r:id="rId45"/>
    <hyperlink ref="H51" r:id="rId46"/>
    <hyperlink ref="H53" r:id="rId47"/>
    <hyperlink ref="H54" r:id="rId48"/>
    <hyperlink ref="H55" r:id="rId49"/>
    <hyperlink ref="H56" r:id="rId50"/>
    <hyperlink ref="H57" r:id="rId51"/>
    <hyperlink ref="H58" r:id="rId52"/>
    <hyperlink ref="H59" r:id="rId53"/>
    <hyperlink ref="H62" r:id="rId54"/>
    <hyperlink ref="H63" r:id="rId55"/>
    <hyperlink ref="H64" r:id="rId56"/>
    <hyperlink ref="H65" r:id="rId57"/>
    <hyperlink ref="H66" r:id="rId58"/>
  </hyperlinks>
  <pageMargins left="1" right="1" top="1.3937000000000002" bottom="1.5834999999999999" header="0.51180000000000003" footer="0.25"/>
  <pageSetup paperSize="0" scale="51" fitToWidth="0" fitToHeight="0" orientation="portrait" horizontalDpi="0" verticalDpi="0" copies="0"/>
  <headerFooter>
    <oddFooter>&amp;C&amp;12&amp;P</oddFooter>
  </headerFooter>
  <colBreaks count="1" manualBreakCount="1">
    <brk id="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workbookViewId="0"/>
  </sheetViews>
  <sheetFormatPr defaultRowHeight="13.9"/>
  <cols>
    <col min="1" max="1" width="5.25" style="1" customWidth="1"/>
    <col min="2" max="2" width="18" style="1" customWidth="1"/>
    <col min="3" max="3" width="19.5" style="1" customWidth="1"/>
    <col min="4" max="4" width="17" style="1" customWidth="1"/>
    <col min="5" max="5" width="21.875" style="1" customWidth="1"/>
    <col min="6" max="6" width="23.625" style="1" customWidth="1"/>
    <col min="7" max="1023" width="9" style="1" customWidth="1"/>
    <col min="1024" max="1024" width="9" customWidth="1"/>
  </cols>
  <sheetData>
    <row r="1" spans="1:6" ht="19.899999999999999" customHeight="1">
      <c r="A1" s="174" t="s">
        <v>1119</v>
      </c>
      <c r="B1" s="174"/>
      <c r="C1" s="174"/>
      <c r="D1" s="174"/>
      <c r="E1" s="174"/>
      <c r="F1" s="174"/>
    </row>
    <row r="2" spans="1:6" ht="20.25" customHeight="1">
      <c r="A2" s="44" t="s">
        <v>1120</v>
      </c>
      <c r="B2" s="44"/>
      <c r="C2" s="44"/>
      <c r="D2" s="44"/>
      <c r="E2" s="44"/>
      <c r="F2" s="44"/>
    </row>
    <row r="3" spans="1:6" ht="20.25" customHeight="1">
      <c r="A3" s="175" t="s">
        <v>35</v>
      </c>
      <c r="B3" s="175"/>
      <c r="C3" s="175"/>
      <c r="D3" s="175"/>
      <c r="E3" s="175"/>
      <c r="F3" s="175"/>
    </row>
    <row r="4" spans="1:6" ht="20.100000000000001" customHeight="1">
      <c r="A4" s="176"/>
      <c r="B4" s="176"/>
      <c r="C4" s="176"/>
      <c r="D4" s="176"/>
      <c r="E4" s="176"/>
      <c r="F4" s="176"/>
    </row>
    <row r="5" spans="1:6" ht="20.100000000000001" customHeight="1">
      <c r="A5" s="177"/>
      <c r="B5" s="177"/>
      <c r="C5" s="177"/>
      <c r="D5" s="177"/>
      <c r="E5" s="177"/>
      <c r="F5" s="177"/>
    </row>
    <row r="6" spans="1:6" ht="21.4" customHeight="1">
      <c r="A6" s="164"/>
      <c r="B6" s="164"/>
      <c r="C6" s="164"/>
      <c r="D6" s="164" t="s">
        <v>1121</v>
      </c>
      <c r="E6" s="164" t="s">
        <v>40</v>
      </c>
      <c r="F6" s="164" t="s">
        <v>922</v>
      </c>
    </row>
    <row r="7" spans="1:6" ht="80.25" customHeight="1">
      <c r="A7" s="36"/>
      <c r="B7" s="165" t="s">
        <v>1122</v>
      </c>
      <c r="C7" s="166">
        <f>By_Sector!C17</f>
        <v>74.2</v>
      </c>
      <c r="D7" s="167" t="s">
        <v>962</v>
      </c>
      <c r="E7" s="168" t="s">
        <v>1123</v>
      </c>
      <c r="F7" s="22"/>
    </row>
    <row r="8" spans="1:6" ht="69" customHeight="1">
      <c r="A8" s="30"/>
      <c r="B8" s="169" t="s">
        <v>1124</v>
      </c>
      <c r="C8" s="170">
        <v>18.600000000000001</v>
      </c>
      <c r="D8" s="167" t="s">
        <v>962</v>
      </c>
      <c r="E8" s="168" t="s">
        <v>1125</v>
      </c>
      <c r="F8" s="22" t="s">
        <v>1126</v>
      </c>
    </row>
    <row r="9" spans="1:6" ht="54.75" customHeight="1">
      <c r="A9" s="15"/>
      <c r="B9" s="171" t="s">
        <v>1127</v>
      </c>
      <c r="C9" s="172">
        <f>ROUND(((C7-C8)/C7)*100,0)</f>
        <v>75</v>
      </c>
      <c r="D9" s="173" t="s">
        <v>1128</v>
      </c>
      <c r="E9" s="18"/>
      <c r="F9" s="22" t="s">
        <v>1129</v>
      </c>
    </row>
    <row r="10" spans="1:6" ht="14.25">
      <c r="B10"/>
    </row>
    <row r="1048576" ht="12.75" customHeight="1"/>
  </sheetData>
  <mergeCells count="5">
    <mergeCell ref="A1:F1"/>
    <mergeCell ref="A2:F2"/>
    <mergeCell ref="A3:F3"/>
    <mergeCell ref="A4:F4"/>
    <mergeCell ref="A5:F5"/>
  </mergeCells>
  <pageMargins left="1" right="1" top="1.3937000000000002" bottom="1.5834999999999999" header="0.51180000000000003" footer="0.25"/>
  <pageSetup paperSize="0" scale="69" fitToWidth="0" fitToHeight="0" orientation="portrait" horizontalDpi="0" verticalDpi="0" copies="0"/>
  <headerFooter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/>
  </sheetViews>
  <sheetFormatPr defaultRowHeight="13.9"/>
  <cols>
    <col min="1" max="1" width="11.5" customWidth="1"/>
    <col min="2" max="2" width="15.625" customWidth="1"/>
    <col min="3" max="3" width="9.875" customWidth="1"/>
    <col min="4" max="4" width="13.25" customWidth="1"/>
    <col min="5" max="5" width="12.875" customWidth="1"/>
    <col min="6" max="6" width="34.75" customWidth="1"/>
    <col min="7" max="7" width="52.875" customWidth="1"/>
    <col min="8" max="8" width="24.75" hidden="1" customWidth="1"/>
    <col min="9" max="9" width="31.75" customWidth="1"/>
    <col min="10" max="10" width="4.875" customWidth="1"/>
    <col min="11" max="64" width="4.5" customWidth="1"/>
    <col min="65" max="1024" width="4.875" customWidth="1"/>
  </cols>
  <sheetData>
    <row r="1" spans="1:8" ht="14.25" customHeight="1">
      <c r="A1" s="248" t="s">
        <v>1130</v>
      </c>
      <c r="B1" s="248"/>
      <c r="C1" s="248"/>
      <c r="D1" s="248"/>
      <c r="E1" s="248"/>
      <c r="F1" s="248"/>
      <c r="G1" s="248"/>
    </row>
    <row r="2" spans="1:8" ht="25.5" customHeight="1">
      <c r="A2" s="111" t="s">
        <v>1131</v>
      </c>
      <c r="B2" s="111"/>
      <c r="C2" s="111"/>
      <c r="D2" s="111"/>
      <c r="E2" s="111"/>
      <c r="F2" s="111"/>
      <c r="G2" s="111"/>
    </row>
    <row r="3" spans="1:8" ht="15" customHeight="1">
      <c r="A3" s="249" t="s">
        <v>35</v>
      </c>
      <c r="B3" s="249"/>
      <c r="C3" s="249"/>
      <c r="D3" s="249"/>
      <c r="E3" s="249"/>
      <c r="F3" s="249"/>
      <c r="G3" s="249"/>
    </row>
    <row r="4" spans="1:8" ht="14.25">
      <c r="A4" s="250"/>
      <c r="B4" s="250"/>
      <c r="C4" s="250"/>
      <c r="D4" s="250"/>
      <c r="E4" s="250"/>
      <c r="F4" s="250"/>
      <c r="G4" s="250"/>
    </row>
    <row r="5" spans="1:8" ht="20.25" customHeight="1">
      <c r="A5" s="251" t="s">
        <v>1132</v>
      </c>
      <c r="B5" s="251"/>
      <c r="C5" s="251"/>
      <c r="D5" s="251"/>
      <c r="E5" s="251"/>
      <c r="F5" s="251"/>
      <c r="G5" s="251"/>
    </row>
    <row r="6" spans="1:8" ht="20.25" customHeight="1">
      <c r="A6" s="252" t="s">
        <v>1133</v>
      </c>
      <c r="B6" s="252"/>
      <c r="C6" s="252"/>
      <c r="D6" s="252"/>
      <c r="E6" s="252"/>
      <c r="F6" s="252"/>
      <c r="G6" s="252"/>
    </row>
    <row r="7" spans="1:8" ht="54" customHeight="1">
      <c r="A7" s="178" t="s">
        <v>1134</v>
      </c>
      <c r="B7" s="179" t="s">
        <v>1135</v>
      </c>
      <c r="C7" s="253" t="s">
        <v>1136</v>
      </c>
      <c r="D7" s="253"/>
      <c r="E7" s="180" t="s">
        <v>1137</v>
      </c>
      <c r="F7" s="180" t="s">
        <v>1138</v>
      </c>
      <c r="G7" s="180" t="s">
        <v>1139</v>
      </c>
    </row>
    <row r="8" spans="1:8" ht="14.25" customHeight="1">
      <c r="A8" s="254" t="s">
        <v>1140</v>
      </c>
      <c r="B8" s="254"/>
      <c r="C8" s="254"/>
      <c r="D8" s="254"/>
      <c r="E8" s="254"/>
      <c r="F8" s="254"/>
      <c r="G8" s="181" t="s">
        <v>1141</v>
      </c>
    </row>
    <row r="9" spans="1:8" ht="216">
      <c r="A9" s="182" t="s">
        <v>1142</v>
      </c>
      <c r="B9" s="183" t="s">
        <v>981</v>
      </c>
      <c r="C9" s="184"/>
      <c r="D9" s="185">
        <f>17704.8+15+149.7</f>
        <v>17869.5</v>
      </c>
      <c r="E9" s="186">
        <f>ROUND((D9*100)/(Total!C7*1000),2)</f>
        <v>24.08</v>
      </c>
      <c r="F9" s="187" t="s">
        <v>1143</v>
      </c>
      <c r="G9" s="188" t="s">
        <v>1144</v>
      </c>
    </row>
    <row r="10" spans="1:8" ht="27.4" customHeight="1">
      <c r="A10" s="255" t="s">
        <v>1145</v>
      </c>
      <c r="B10" s="189" t="s">
        <v>1146</v>
      </c>
      <c r="C10" s="190"/>
      <c r="D10" s="191">
        <f>97.8+0.1298</f>
        <v>97.9298</v>
      </c>
      <c r="E10" s="190">
        <f>ROUND((D10*100)/(Total!C7*1000),2)</f>
        <v>0.13</v>
      </c>
      <c r="F10" s="192" t="s">
        <v>1147</v>
      </c>
      <c r="G10" s="18" t="s">
        <v>1148</v>
      </c>
    </row>
    <row r="11" spans="1:8" ht="28.5">
      <c r="A11" s="255"/>
      <c r="B11" s="193" t="s">
        <v>1149</v>
      </c>
      <c r="C11" s="18"/>
      <c r="D11" s="194">
        <f>1072.2+0.6+3.5</f>
        <v>1076.3</v>
      </c>
      <c r="E11" s="18">
        <f>ROUND((D11*100)/(Total!C7*1000),2)</f>
        <v>1.45</v>
      </c>
      <c r="F11" s="192" t="s">
        <v>1147</v>
      </c>
      <c r="G11" s="18" t="s">
        <v>1150</v>
      </c>
    </row>
    <row r="12" spans="1:8" ht="71.25">
      <c r="A12" s="255"/>
      <c r="B12" s="193" t="s">
        <v>1151</v>
      </c>
      <c r="C12" s="18"/>
      <c r="D12" s="194">
        <f>1306.6+22.9+44.6</f>
        <v>1374.1</v>
      </c>
      <c r="E12" s="18">
        <f>ROUND((D12*100)/(Total!C7*1000),2)</f>
        <v>1.85</v>
      </c>
      <c r="F12" s="192" t="s">
        <v>1147</v>
      </c>
      <c r="G12" s="18" t="s">
        <v>1152</v>
      </c>
    </row>
    <row r="13" spans="1:8" ht="42.75">
      <c r="A13" s="255"/>
      <c r="B13" s="193" t="s">
        <v>1153</v>
      </c>
      <c r="C13" s="18"/>
      <c r="D13" s="194">
        <f>736.9+0.8+6.9</f>
        <v>744.59999999999991</v>
      </c>
      <c r="E13" s="18">
        <f>ROUND((D13*100)/(Total!C7*1000),2)</f>
        <v>1</v>
      </c>
      <c r="F13" s="192" t="s">
        <v>1147</v>
      </c>
      <c r="G13" s="18" t="s">
        <v>1154</v>
      </c>
    </row>
    <row r="14" spans="1:8" ht="38.65" customHeight="1">
      <c r="A14" s="255"/>
      <c r="B14" s="193" t="s">
        <v>1155</v>
      </c>
      <c r="C14" s="18"/>
      <c r="D14" s="194">
        <f>2611.2+25.5+29.8</f>
        <v>2666.5</v>
      </c>
      <c r="E14" s="18">
        <f>ROUND((D14*100)/(Total!C7*1000),2)</f>
        <v>3.59</v>
      </c>
      <c r="F14" s="192" t="s">
        <v>1147</v>
      </c>
      <c r="G14" s="18" t="s">
        <v>1156</v>
      </c>
    </row>
    <row r="15" spans="1:8" ht="165">
      <c r="A15" s="255"/>
      <c r="B15" s="183" t="s">
        <v>1157</v>
      </c>
      <c r="C15" s="184"/>
      <c r="D15" s="185">
        <f>1571.7+2.5+29.8</f>
        <v>1604</v>
      </c>
      <c r="E15" s="184">
        <f>ROUND((D15*100)/(Total!C7*1000),2)</f>
        <v>2.16</v>
      </c>
      <c r="F15" s="187" t="s">
        <v>1147</v>
      </c>
      <c r="G15" s="195" t="s">
        <v>1158</v>
      </c>
    </row>
    <row r="16" spans="1:8" ht="28.5" customHeight="1">
      <c r="A16" s="255" t="s">
        <v>1159</v>
      </c>
      <c r="B16" s="196" t="s">
        <v>1160</v>
      </c>
      <c r="C16" s="190"/>
      <c r="D16" s="191">
        <f>498.12+0.47+4.15</f>
        <v>502.74</v>
      </c>
      <c r="E16" s="190">
        <f>(D16*100)/(Total!C7*1000)</f>
        <v>0.67754716981132079</v>
      </c>
      <c r="F16" s="192" t="s">
        <v>1161</v>
      </c>
      <c r="G16" s="18" t="s">
        <v>1162</v>
      </c>
      <c r="H16" s="18"/>
    </row>
    <row r="17" spans="1:8" ht="85.5">
      <c r="A17" s="255"/>
      <c r="B17" s="193" t="s">
        <v>1163</v>
      </c>
      <c r="C17" s="18"/>
      <c r="D17" s="197">
        <f>58.7+0.5</f>
        <v>59.2</v>
      </c>
      <c r="E17" s="198">
        <f>(D17*100)/(Total!C7*1000)</f>
        <v>7.9784366576819407E-2</v>
      </c>
      <c r="F17" s="60" t="s">
        <v>1164</v>
      </c>
      <c r="G17" s="18" t="s">
        <v>1165</v>
      </c>
    </row>
    <row r="18" spans="1:8" ht="114">
      <c r="A18" s="255"/>
      <c r="B18" s="193" t="s">
        <v>1166</v>
      </c>
      <c r="C18" s="18"/>
      <c r="D18" s="197">
        <f>4120.19+2.49+34.34</f>
        <v>4157.0199999999995</v>
      </c>
      <c r="E18" s="198">
        <f>(D18*100)/(Total!C7*1000)</f>
        <v>5.6024528301886782</v>
      </c>
      <c r="F18" s="60" t="s">
        <v>1167</v>
      </c>
      <c r="G18" s="18" t="s">
        <v>1168</v>
      </c>
      <c r="H18" s="18"/>
    </row>
    <row r="19" spans="1:8" ht="32.1" customHeight="1">
      <c r="A19" s="255"/>
      <c r="B19" s="193" t="s">
        <v>1169</v>
      </c>
      <c r="C19" s="18"/>
      <c r="D19" s="197">
        <f>16277.26+746.96+21.46+146.99+32.3+7.38</f>
        <v>17232.350000000002</v>
      </c>
      <c r="E19" s="198">
        <f>(D19*100)/(Total!C7*1000)</f>
        <v>23.224191374663075</v>
      </c>
      <c r="F19" s="60" t="s">
        <v>1170</v>
      </c>
      <c r="G19" s="18" t="s">
        <v>1171</v>
      </c>
    </row>
    <row r="20" spans="1:8" ht="28.5">
      <c r="A20" s="255"/>
      <c r="B20" s="193" t="s">
        <v>1172</v>
      </c>
      <c r="C20" s="18"/>
      <c r="D20" s="197">
        <f>30.2+0+3.5</f>
        <v>33.700000000000003</v>
      </c>
      <c r="E20" s="198">
        <f>(D20*100)/(Total!C7*1000)</f>
        <v>4.5417789757412404E-2</v>
      </c>
      <c r="F20" s="60" t="s">
        <v>1173</v>
      </c>
      <c r="G20" s="18" t="s">
        <v>1174</v>
      </c>
    </row>
    <row r="21" spans="1:8" ht="42.75">
      <c r="A21" s="255"/>
      <c r="B21" s="193" t="s">
        <v>1175</v>
      </c>
      <c r="C21" s="18"/>
      <c r="D21" s="197">
        <f>262.8+0.6+2</f>
        <v>265.40000000000003</v>
      </c>
      <c r="E21" s="198">
        <f>(D21*100)/(Total!C7*1000)</f>
        <v>0.35768194070080866</v>
      </c>
      <c r="F21" s="60" t="s">
        <v>1176</v>
      </c>
      <c r="G21" s="18"/>
    </row>
    <row r="22" spans="1:8" ht="45.75" customHeight="1">
      <c r="A22" s="255"/>
      <c r="B22" s="183" t="s">
        <v>1177</v>
      </c>
      <c r="C22" s="184"/>
      <c r="D22" s="199">
        <f>2657.3+6.1+20.6</f>
        <v>2684</v>
      </c>
      <c r="E22" s="200"/>
      <c r="F22" s="187"/>
      <c r="G22" s="201" t="s">
        <v>1178</v>
      </c>
    </row>
    <row r="23" spans="1:8" ht="42.75" customHeight="1">
      <c r="A23" s="255" t="s">
        <v>1179</v>
      </c>
      <c r="B23" s="196" t="s">
        <v>1180</v>
      </c>
      <c r="C23" s="190"/>
      <c r="D23" s="202">
        <f>1213.3+0.9+11.2</f>
        <v>1225.4000000000001</v>
      </c>
      <c r="E23" s="203">
        <f>(D23*100)/(Total!C7*1000)</f>
        <v>1.6514824797843668</v>
      </c>
      <c r="F23" s="192" t="s">
        <v>1181</v>
      </c>
      <c r="G23" s="41" t="s">
        <v>1182</v>
      </c>
    </row>
    <row r="24" spans="1:8" ht="128.25">
      <c r="A24" s="255"/>
      <c r="B24" s="193" t="s">
        <v>1183</v>
      </c>
      <c r="C24" s="18"/>
      <c r="D24" s="197">
        <f>1784.3+212.8+95.3</f>
        <v>2092.4</v>
      </c>
      <c r="E24" s="198">
        <f>(D24*100)/(Total!C7*1000)</f>
        <v>2.819946091644205</v>
      </c>
      <c r="F24" s="60" t="s">
        <v>1184</v>
      </c>
      <c r="G24" s="18" t="s">
        <v>1185</v>
      </c>
    </row>
    <row r="25" spans="1:8" ht="28.5" customHeight="1">
      <c r="A25" s="255"/>
      <c r="B25" s="256" t="s">
        <v>1186</v>
      </c>
      <c r="C25" s="48"/>
      <c r="D25" s="257">
        <f>1156+2+56.3</f>
        <v>1214.3</v>
      </c>
      <c r="E25" s="258">
        <f>(D25*100)/(Total!C7*1000)</f>
        <v>1.6365229110512129</v>
      </c>
      <c r="F25" s="259" t="s">
        <v>1187</v>
      </c>
      <c r="G25" s="18" t="s">
        <v>1188</v>
      </c>
    </row>
    <row r="26" spans="1:8" ht="99.75">
      <c r="A26" s="255"/>
      <c r="B26" s="256"/>
      <c r="C26" s="48"/>
      <c r="D26" s="257"/>
      <c r="E26" s="258"/>
      <c r="F26" s="259"/>
      <c r="G26" s="201" t="s">
        <v>1189</v>
      </c>
    </row>
    <row r="27" spans="1:8" ht="28.5">
      <c r="A27" s="255"/>
      <c r="B27" s="256"/>
      <c r="C27" s="48"/>
      <c r="D27" s="257"/>
      <c r="E27" s="258"/>
      <c r="F27" s="259"/>
      <c r="G27" s="201" t="s">
        <v>1190</v>
      </c>
    </row>
    <row r="28" spans="1:8" ht="409.5">
      <c r="A28" s="255"/>
      <c r="B28" s="204" t="s">
        <v>1191</v>
      </c>
      <c r="C28" s="205"/>
      <c r="D28" s="206">
        <f>15.7+55.6+1128.4+2.8</f>
        <v>1202.5</v>
      </c>
      <c r="E28" s="207">
        <f>(D28*100)/(Total!C7*1000)</f>
        <v>1.6206199460916442</v>
      </c>
      <c r="F28" s="208" t="s">
        <v>1192</v>
      </c>
      <c r="G28" s="10" t="s">
        <v>1193</v>
      </c>
    </row>
    <row r="29" spans="1:8" ht="25.5" customHeight="1">
      <c r="A29" s="107"/>
      <c r="B29" s="260" t="s">
        <v>921</v>
      </c>
      <c r="C29" s="260"/>
      <c r="D29" s="209">
        <f>SUM(D9:D28)</f>
        <v>56101.939800000007</v>
      </c>
      <c r="E29" s="210">
        <f>ROUND((D29*100)/(Total!C7*1000),2)</f>
        <v>75.61</v>
      </c>
      <c r="F29" s="34"/>
      <c r="G29" s="211"/>
    </row>
    <row r="30" spans="1:8" ht="14.25" customHeight="1">
      <c r="A30" s="261" t="s">
        <v>1194</v>
      </c>
      <c r="B30" s="261"/>
      <c r="C30" s="261"/>
      <c r="D30" s="261"/>
      <c r="E30" s="261"/>
      <c r="F30" s="261"/>
      <c r="G30" s="212" t="s">
        <v>1195</v>
      </c>
    </row>
    <row r="31" spans="1:8" ht="104.25">
      <c r="A31" s="262"/>
      <c r="B31" s="213" t="s">
        <v>1196</v>
      </c>
      <c r="C31" s="18"/>
      <c r="D31" s="197">
        <v>3171.3</v>
      </c>
      <c r="E31" s="198">
        <f>(D31*100)/(Total!C7*1000)</f>
        <v>4.2739892183288406</v>
      </c>
      <c r="F31" s="18" t="s">
        <v>1197</v>
      </c>
      <c r="G31" s="18" t="s">
        <v>1198</v>
      </c>
    </row>
    <row r="32" spans="1:8" ht="120">
      <c r="A32" s="262"/>
      <c r="B32" s="213" t="s">
        <v>1199</v>
      </c>
      <c r="C32" s="18"/>
      <c r="D32" s="197">
        <f>428.7+16.2+46.3</f>
        <v>491.2</v>
      </c>
      <c r="E32" s="198">
        <f>(D32*100)/(Total!C7*1000)</f>
        <v>0.66199460916442043</v>
      </c>
      <c r="F32" s="18" t="s">
        <v>1197</v>
      </c>
      <c r="G32" t="s">
        <v>1200</v>
      </c>
    </row>
    <row r="33" spans="1:7" ht="26.25" customHeight="1">
      <c r="A33" s="262"/>
      <c r="B33" s="213" t="s">
        <v>1201</v>
      </c>
      <c r="C33" s="18"/>
      <c r="D33" s="197">
        <v>75.5</v>
      </c>
      <c r="E33" s="198">
        <f>(D33*100)/(Total!C7*1000)</f>
        <v>0.10175202156334232</v>
      </c>
      <c r="F33" s="18" t="s">
        <v>1197</v>
      </c>
      <c r="G33" s="201" t="s">
        <v>1202</v>
      </c>
    </row>
    <row r="34" spans="1:7" ht="106.9" customHeight="1">
      <c r="A34" s="262"/>
      <c r="B34" s="214" t="s">
        <v>1203</v>
      </c>
      <c r="C34" s="18"/>
      <c r="D34" s="197">
        <f>214.8+0.9</f>
        <v>215.70000000000002</v>
      </c>
      <c r="E34" s="198">
        <f>(D34*100)/(Total!C7*1000)</f>
        <v>0.29070080862533693</v>
      </c>
      <c r="F34" s="18" t="s">
        <v>1197</v>
      </c>
      <c r="G34" t="s">
        <v>1204</v>
      </c>
    </row>
    <row r="35" spans="1:7" ht="46.5" customHeight="1">
      <c r="A35" s="262"/>
      <c r="B35" s="215" t="s">
        <v>1205</v>
      </c>
      <c r="C35" s="18" t="s">
        <v>1206</v>
      </c>
      <c r="D35" s="197"/>
      <c r="E35" s="198"/>
      <c r="F35" s="18" t="s">
        <v>1207</v>
      </c>
      <c r="G35" s="201"/>
    </row>
    <row r="36" spans="1:7" ht="60.95" customHeight="1">
      <c r="A36" s="262"/>
      <c r="B36" s="215" t="s">
        <v>1208</v>
      </c>
      <c r="C36" s="18"/>
      <c r="D36" s="197">
        <f>33.8+23.7</f>
        <v>57.5</v>
      </c>
      <c r="E36" s="198">
        <f>(D36*100)/(Total!C7*1000)</f>
        <v>7.7493261455525611E-2</v>
      </c>
      <c r="F36" s="18" t="s">
        <v>1197</v>
      </c>
      <c r="G36" s="216" t="s">
        <v>1209</v>
      </c>
    </row>
    <row r="37" spans="1:7" ht="106.9" customHeight="1">
      <c r="A37" s="262"/>
      <c r="B37" s="217" t="s">
        <v>1210</v>
      </c>
      <c r="C37" s="218"/>
      <c r="D37" s="219">
        <f>3411.8+19.1</f>
        <v>3430.9</v>
      </c>
      <c r="E37" s="220">
        <f>(D37*100)/(Total!C7*1000)</f>
        <v>4.6238544474393528</v>
      </c>
      <c r="F37" s="208" t="s">
        <v>1197</v>
      </c>
      <c r="G37" s="218" t="s">
        <v>1211</v>
      </c>
    </row>
    <row r="38" spans="1:7" ht="26.25" customHeight="1">
      <c r="B38" s="260" t="s">
        <v>921</v>
      </c>
      <c r="C38" s="260"/>
      <c r="D38" s="209">
        <v>7442.2</v>
      </c>
      <c r="E38" s="210">
        <f>ROUND((D38*100)/(Total!C7*1000),2)</f>
        <v>10.029999999999999</v>
      </c>
      <c r="F38" s="34" t="s">
        <v>1197</v>
      </c>
      <c r="G38" s="211"/>
    </row>
    <row r="39" spans="1:7" ht="14.25" customHeight="1">
      <c r="A39" s="263" t="s">
        <v>1212</v>
      </c>
      <c r="B39" s="263"/>
      <c r="C39" s="263"/>
      <c r="D39" s="263"/>
      <c r="E39" s="263"/>
      <c r="F39" s="263"/>
      <c r="G39" s="221" t="s">
        <v>1213</v>
      </c>
    </row>
    <row r="40" spans="1:7" ht="14.25" customHeight="1">
      <c r="A40" s="264" t="s">
        <v>1214</v>
      </c>
      <c r="B40" s="264"/>
      <c r="C40" s="264"/>
      <c r="D40" s="197">
        <f>3495.6</f>
        <v>3495.6</v>
      </c>
      <c r="E40" s="222">
        <f>(D40*100)/(Total!C7*1000)</f>
        <v>4.7110512129380053</v>
      </c>
      <c r="F40" s="18" t="s">
        <v>1215</v>
      </c>
      <c r="G40" s="190"/>
    </row>
    <row r="41" spans="1:7" ht="28.5">
      <c r="A41" s="265"/>
      <c r="B41" s="193" t="s">
        <v>1216</v>
      </c>
      <c r="C41" s="18">
        <f>31.17</f>
        <v>31.17</v>
      </c>
      <c r="D41" s="197"/>
      <c r="E41" s="222"/>
      <c r="F41" s="18" t="s">
        <v>1217</v>
      </c>
      <c r="G41" s="18" t="s">
        <v>1218</v>
      </c>
    </row>
    <row r="42" spans="1:7" ht="28.5">
      <c r="A42" s="265"/>
      <c r="B42" s="193" t="s">
        <v>1219</v>
      </c>
      <c r="C42" s="18">
        <f>82.07</f>
        <v>82.07</v>
      </c>
      <c r="D42" s="197"/>
      <c r="E42" s="222"/>
      <c r="F42" s="18" t="s">
        <v>1217</v>
      </c>
      <c r="G42" s="18" t="s">
        <v>1220</v>
      </c>
    </row>
    <row r="43" spans="1:7" ht="28.5">
      <c r="A43" s="265"/>
      <c r="B43" s="193" t="s">
        <v>1221</v>
      </c>
      <c r="C43" s="18">
        <f>20.91</f>
        <v>20.91</v>
      </c>
      <c r="D43" s="197"/>
      <c r="E43" s="222"/>
      <c r="F43" s="18" t="s">
        <v>1217</v>
      </c>
      <c r="G43" s="18" t="s">
        <v>1222</v>
      </c>
    </row>
    <row r="44" spans="1:7" ht="28.5">
      <c r="A44" s="265"/>
      <c r="B44" s="193" t="s">
        <v>1223</v>
      </c>
      <c r="C44" s="18">
        <f>2.53</f>
        <v>2.5299999999999998</v>
      </c>
      <c r="D44" s="197"/>
      <c r="E44" s="222"/>
      <c r="F44" s="18" t="s">
        <v>1217</v>
      </c>
      <c r="G44" s="18" t="s">
        <v>1224</v>
      </c>
    </row>
    <row r="45" spans="1:7" ht="28.5">
      <c r="A45" s="265"/>
      <c r="B45" s="193" t="s">
        <v>1179</v>
      </c>
      <c r="C45" s="18">
        <f>0.53+0.13+0.03</f>
        <v>0.69000000000000006</v>
      </c>
      <c r="D45" s="197"/>
      <c r="E45" s="222"/>
      <c r="F45" s="18" t="s">
        <v>1217</v>
      </c>
      <c r="G45" s="18" t="s">
        <v>1225</v>
      </c>
    </row>
    <row r="46" spans="1:7" ht="28.5">
      <c r="A46" s="265"/>
      <c r="B46" s="193" t="s">
        <v>1226</v>
      </c>
      <c r="C46" s="18">
        <f>2.46</f>
        <v>2.46</v>
      </c>
      <c r="D46" s="197"/>
      <c r="E46" s="222"/>
      <c r="F46" s="18" t="s">
        <v>1217</v>
      </c>
      <c r="G46" s="18" t="s">
        <v>1227</v>
      </c>
    </row>
    <row r="47" spans="1:7" ht="14.25" customHeight="1">
      <c r="A47" s="266" t="s">
        <v>1228</v>
      </c>
      <c r="B47" s="266"/>
      <c r="C47" s="266"/>
      <c r="D47" s="197">
        <f>725.3+189.5</f>
        <v>914.8</v>
      </c>
      <c r="E47" s="222">
        <f>(D47*100)/(Total!C7*1000)</f>
        <v>1.2328840970350405</v>
      </c>
      <c r="F47" s="18" t="s">
        <v>1215</v>
      </c>
      <c r="G47" s="190"/>
    </row>
    <row r="48" spans="1:7" ht="28.5">
      <c r="A48" s="267"/>
      <c r="B48" s="193" t="s">
        <v>1216</v>
      </c>
      <c r="C48" s="18">
        <f>6.07+0.11</f>
        <v>6.1800000000000006</v>
      </c>
      <c r="D48" s="197"/>
      <c r="E48" s="222"/>
      <c r="F48" s="18" t="s">
        <v>1229</v>
      </c>
      <c r="G48" s="18"/>
    </row>
    <row r="49" spans="1:7" ht="28.5">
      <c r="A49" s="267"/>
      <c r="B49" s="193" t="s">
        <v>1219</v>
      </c>
      <c r="C49" s="18">
        <f>2.71+0.06</f>
        <v>2.77</v>
      </c>
      <c r="D49" s="197"/>
      <c r="E49" s="222"/>
      <c r="F49" s="18" t="s">
        <v>1229</v>
      </c>
      <c r="G49" s="18"/>
    </row>
    <row r="50" spans="1:7" ht="28.5">
      <c r="A50" s="267"/>
      <c r="B50" s="193" t="s">
        <v>1221</v>
      </c>
      <c r="C50" s="18">
        <f>0.77+0.01</f>
        <v>0.78</v>
      </c>
      <c r="D50" s="197"/>
      <c r="E50" s="222"/>
      <c r="F50" s="18" t="s">
        <v>1229</v>
      </c>
      <c r="G50" s="18"/>
    </row>
    <row r="51" spans="1:7" ht="28.5">
      <c r="A51" s="267"/>
      <c r="B51" s="193" t="s">
        <v>1223</v>
      </c>
      <c r="C51" s="18">
        <f>16.79+0.01</f>
        <v>16.8</v>
      </c>
      <c r="D51" s="197"/>
      <c r="E51" s="222"/>
      <c r="F51" s="18" t="s">
        <v>1229</v>
      </c>
      <c r="G51" s="18"/>
    </row>
    <row r="52" spans="1:7" ht="28.5">
      <c r="A52" s="267"/>
      <c r="B52" s="223" t="s">
        <v>1226</v>
      </c>
      <c r="C52" s="201">
        <f>0.1</f>
        <v>0.1</v>
      </c>
      <c r="D52" s="224"/>
      <c r="E52" s="225"/>
      <c r="F52" s="18" t="s">
        <v>1229</v>
      </c>
      <c r="G52" s="201"/>
    </row>
    <row r="53" spans="1:7" ht="28.5">
      <c r="A53" s="267"/>
      <c r="B53" s="223" t="s">
        <v>1179</v>
      </c>
      <c r="C53" s="201">
        <f>0.07+0.01+0.03+1.58</f>
        <v>1.6900000000000002</v>
      </c>
      <c r="D53" s="224"/>
      <c r="E53" s="225"/>
      <c r="F53" s="18" t="s">
        <v>1229</v>
      </c>
      <c r="G53" s="201" t="s">
        <v>1225</v>
      </c>
    </row>
    <row r="54" spans="1:7" ht="28.5">
      <c r="A54" s="267"/>
      <c r="B54" s="226" t="s">
        <v>1230</v>
      </c>
      <c r="C54" s="201">
        <f>2.46+0.15</f>
        <v>2.61</v>
      </c>
      <c r="D54" s="199"/>
      <c r="E54" s="227"/>
      <c r="F54" s="18" t="s">
        <v>1229</v>
      </c>
      <c r="G54" s="201" t="s">
        <v>1231</v>
      </c>
    </row>
    <row r="55" spans="1:7" ht="25.5" customHeight="1">
      <c r="A55" s="268" t="s">
        <v>1232</v>
      </c>
      <c r="B55" s="268"/>
      <c r="C55" s="268"/>
      <c r="D55" s="228">
        <f>136.8</f>
        <v>136.80000000000001</v>
      </c>
      <c r="E55" s="229">
        <f>(D55*100)/(Total!C7*1000)</f>
        <v>0.18436657681940705</v>
      </c>
      <c r="F55" s="18" t="s">
        <v>1215</v>
      </c>
      <c r="G55" s="211"/>
    </row>
    <row r="56" spans="1:7" ht="14.25" customHeight="1">
      <c r="A56" s="269" t="s">
        <v>1233</v>
      </c>
      <c r="B56" s="269"/>
      <c r="C56" s="269"/>
      <c r="D56" s="228">
        <f>2151.9</f>
        <v>2151.9</v>
      </c>
      <c r="E56" s="229">
        <f>(D56*100)/(Total!C7*1000)</f>
        <v>2.9001347708894878</v>
      </c>
      <c r="F56" s="18" t="s">
        <v>1215</v>
      </c>
      <c r="G56" s="211"/>
    </row>
    <row r="57" spans="1:7" ht="71.25">
      <c r="A57" s="270"/>
      <c r="B57" s="230" t="s">
        <v>1234</v>
      </c>
      <c r="C57" s="231">
        <f>5.83</f>
        <v>5.83</v>
      </c>
      <c r="D57" s="232"/>
      <c r="E57" s="233"/>
      <c r="F57" s="234" t="s">
        <v>1235</v>
      </c>
      <c r="G57" s="41" t="s">
        <v>1236</v>
      </c>
    </row>
    <row r="58" spans="1:7" ht="33.75" customHeight="1">
      <c r="A58" s="270"/>
      <c r="B58" s="235" t="s">
        <v>1237</v>
      </c>
      <c r="C58" s="236">
        <f>1.4</f>
        <v>1.4</v>
      </c>
      <c r="D58" s="237"/>
      <c r="E58" s="229"/>
      <c r="F58" s="18" t="s">
        <v>1235</v>
      </c>
      <c r="G58" s="205" t="s">
        <v>1238</v>
      </c>
    </row>
    <row r="59" spans="1:7" ht="34.5" customHeight="1">
      <c r="A59" s="271" t="s">
        <v>1239</v>
      </c>
      <c r="B59" s="271"/>
      <c r="C59" s="271"/>
      <c r="D59" s="238">
        <f>32.8+19.2</f>
        <v>52</v>
      </c>
      <c r="E59" s="239">
        <f>(D59*100)/(Total!C7*1000)</f>
        <v>7.0080862533692723E-2</v>
      </c>
      <c r="F59" s="34" t="s">
        <v>1215</v>
      </c>
      <c r="G59" s="211"/>
    </row>
    <row r="60" spans="1:7" ht="29.65" customHeight="1">
      <c r="A60" s="272" t="s">
        <v>1240</v>
      </c>
      <c r="B60" s="272"/>
      <c r="C60" s="272"/>
      <c r="D60" s="240">
        <v>7.3</v>
      </c>
      <c r="E60" s="241">
        <f>(D60*100)/(Total!C7*1000)</f>
        <v>9.838274932614556E-3</v>
      </c>
      <c r="F60" s="34" t="s">
        <v>1215</v>
      </c>
      <c r="G60" s="211"/>
    </row>
    <row r="61" spans="1:7" ht="23.25" customHeight="1">
      <c r="A61" s="272" t="s">
        <v>1241</v>
      </c>
      <c r="B61" s="272"/>
      <c r="C61" s="272"/>
      <c r="D61" s="232">
        <v>40.5</v>
      </c>
      <c r="E61" s="242">
        <f>(D61*100)/(Total!C7*1000)</f>
        <v>5.4582210242587602E-2</v>
      </c>
      <c r="F61" s="18" t="s">
        <v>1215</v>
      </c>
      <c r="G61" s="211"/>
    </row>
    <row r="62" spans="1:7" ht="20.25" customHeight="1">
      <c r="A62" s="107"/>
      <c r="B62" s="273" t="s">
        <v>921</v>
      </c>
      <c r="C62" s="273"/>
      <c r="D62" s="243">
        <f>SUM(D40:D61)</f>
        <v>6798.9000000000005</v>
      </c>
      <c r="E62" s="244">
        <f>ROUND((D62*100)/(Total!C7*1000),2)</f>
        <v>9.16</v>
      </c>
      <c r="F62" s="34"/>
      <c r="G62" s="211"/>
    </row>
    <row r="63" spans="1:7" ht="42.75" customHeight="1">
      <c r="A63" s="274" t="s">
        <v>1242</v>
      </c>
      <c r="B63" s="274"/>
      <c r="C63" s="274"/>
      <c r="D63" s="274"/>
      <c r="E63" s="274"/>
      <c r="F63" s="274"/>
      <c r="G63" s="221" t="s">
        <v>1243</v>
      </c>
    </row>
    <row r="64" spans="1:7" ht="25.5" customHeight="1">
      <c r="A64" s="275" t="s">
        <v>1244</v>
      </c>
      <c r="B64" s="276" t="s">
        <v>1245</v>
      </c>
      <c r="C64" s="276"/>
      <c r="D64" s="197">
        <f>3520</f>
        <v>3520</v>
      </c>
      <c r="E64" s="198">
        <f>(D64*100)/(Total!C7*1000)</f>
        <v>4.7439353099730459</v>
      </c>
      <c r="F64" s="18" t="s">
        <v>1246</v>
      </c>
      <c r="G64" s="74"/>
    </row>
    <row r="65" spans="1:7" ht="75.599999999999994" customHeight="1">
      <c r="A65" s="275"/>
      <c r="B65" s="245" t="s">
        <v>1247</v>
      </c>
      <c r="C65" s="18">
        <f>2206.1</f>
        <v>2206.1</v>
      </c>
      <c r="D65" s="197"/>
      <c r="E65" s="198">
        <f>(C65*100)/(Total!C7*1000)</f>
        <v>2.973180592991914</v>
      </c>
      <c r="F65" s="18" t="s">
        <v>1248</v>
      </c>
      <c r="G65" s="259" t="s">
        <v>1249</v>
      </c>
    </row>
    <row r="66" spans="1:7" ht="57">
      <c r="A66" s="275"/>
      <c r="B66" s="245" t="s">
        <v>1250</v>
      </c>
      <c r="C66" s="18">
        <f>387</f>
        <v>387</v>
      </c>
      <c r="D66" s="197"/>
      <c r="E66" s="198">
        <f>(C66*100)/(Total!C7*1000)</f>
        <v>0.52156334231805934</v>
      </c>
      <c r="F66" s="18" t="s">
        <v>1248</v>
      </c>
      <c r="G66" s="259"/>
    </row>
    <row r="67" spans="1:7" ht="77.099999999999994" customHeight="1">
      <c r="A67" s="275"/>
      <c r="B67" s="245" t="s">
        <v>1251</v>
      </c>
      <c r="C67" s="18">
        <f>635.5</f>
        <v>635.5</v>
      </c>
      <c r="D67" s="197"/>
      <c r="E67" s="198">
        <f>(C67*100)/(Total!C7*1000)</f>
        <v>0.85646900269541781</v>
      </c>
      <c r="F67" s="18" t="s">
        <v>1248</v>
      </c>
      <c r="G67" s="259" t="s">
        <v>1252</v>
      </c>
    </row>
    <row r="68" spans="1:7" ht="70.7" customHeight="1">
      <c r="A68" s="275"/>
      <c r="B68" s="245" t="s">
        <v>1253</v>
      </c>
      <c r="C68" s="18">
        <f>333.3</f>
        <v>333.3</v>
      </c>
      <c r="D68" s="197"/>
      <c r="E68" s="198">
        <f>(C68*100)/(Total!C7*1000)</f>
        <v>0.4491913746630728</v>
      </c>
      <c r="F68" s="18" t="s">
        <v>1248</v>
      </c>
      <c r="G68" s="259"/>
    </row>
    <row r="69" spans="1:7" ht="53.1" customHeight="1">
      <c r="A69" s="275"/>
      <c r="B69" s="276" t="s">
        <v>1254</v>
      </c>
      <c r="C69" s="276"/>
      <c r="D69" s="197">
        <f>25.02+15.05</f>
        <v>40.07</v>
      </c>
      <c r="E69" s="198">
        <f>(D69*100)/(Total!C7*1000)</f>
        <v>5.4002695417789758E-2</v>
      </c>
      <c r="F69" s="18" t="s">
        <v>1246</v>
      </c>
      <c r="G69" s="74" t="s">
        <v>1255</v>
      </c>
    </row>
    <row r="70" spans="1:7" ht="53.1" customHeight="1">
      <c r="A70" s="275"/>
      <c r="B70" s="276" t="s">
        <v>1256</v>
      </c>
      <c r="C70" s="276"/>
      <c r="D70" s="197">
        <f>0.2+0.83</f>
        <v>1.03</v>
      </c>
      <c r="E70" s="198">
        <f>(D70*100)/(Total!C7*1000)</f>
        <v>1.3881401617250673E-3</v>
      </c>
      <c r="F70" s="18" t="s">
        <v>1246</v>
      </c>
      <c r="G70" s="18" t="s">
        <v>1257</v>
      </c>
    </row>
    <row r="71" spans="1:7" ht="53.1" customHeight="1">
      <c r="A71" s="275"/>
      <c r="B71" s="245" t="s">
        <v>1258</v>
      </c>
      <c r="C71" s="18">
        <f>30.1+0.1+0.8</f>
        <v>31.000000000000004</v>
      </c>
      <c r="D71" s="197"/>
      <c r="E71" s="198">
        <f>(C71*100)/(Total!C7*1000)</f>
        <v>4.1778975741239899E-2</v>
      </c>
      <c r="F71" s="18" t="s">
        <v>1259</v>
      </c>
      <c r="G71" s="1"/>
    </row>
    <row r="72" spans="1:7" ht="48.2" customHeight="1">
      <c r="A72" s="275"/>
      <c r="B72" s="245" t="s">
        <v>1260</v>
      </c>
      <c r="C72" s="18">
        <f>1.9+0.14+0.1</f>
        <v>2.14</v>
      </c>
      <c r="D72" s="197"/>
      <c r="E72" s="198">
        <f>(C72*100)/(Total!C7*1000)</f>
        <v>2.8840970350404315E-3</v>
      </c>
      <c r="F72" s="18" t="s">
        <v>1259</v>
      </c>
      <c r="G72" s="1"/>
    </row>
    <row r="73" spans="1:7" ht="48.95" customHeight="1">
      <c r="A73" s="275"/>
      <c r="B73" s="276" t="s">
        <v>1261</v>
      </c>
      <c r="C73" s="276"/>
      <c r="D73" s="197">
        <f>754.73+180.09</f>
        <v>934.82</v>
      </c>
      <c r="E73" s="198">
        <f>(D73*100)/(Total!C7*1000)</f>
        <v>1.2598652291105121</v>
      </c>
      <c r="F73" s="18" t="s">
        <v>1246</v>
      </c>
      <c r="G73" s="1" t="s">
        <v>1262</v>
      </c>
    </row>
    <row r="74" spans="1:7" ht="40.15" customHeight="1">
      <c r="A74" s="275"/>
      <c r="B74" s="276" t="s">
        <v>1263</v>
      </c>
      <c r="C74" s="276"/>
      <c r="D74" s="197">
        <f>0.0006+0.0007</f>
        <v>1.2999999999999999E-3</v>
      </c>
      <c r="E74" s="198">
        <f>(D74*100)/(Total!C7*1000)</f>
        <v>1.7520215633423181E-6</v>
      </c>
      <c r="F74" s="18" t="s">
        <v>1246</v>
      </c>
      <c r="G74" s="1" t="s">
        <v>1264</v>
      </c>
    </row>
    <row r="75" spans="1:7" ht="69" customHeight="1">
      <c r="A75" s="275"/>
      <c r="B75" s="276" t="s">
        <v>1265</v>
      </c>
      <c r="C75" s="276"/>
      <c r="D75" s="197">
        <v>31.98</v>
      </c>
      <c r="E75" s="198">
        <f>(D75*100)/(Total!C7*1000)</f>
        <v>4.3099730458221026E-2</v>
      </c>
      <c r="F75" s="18" t="s">
        <v>1246</v>
      </c>
    </row>
    <row r="76" spans="1:7" ht="27.75" customHeight="1">
      <c r="B76" s="277" t="s">
        <v>921</v>
      </c>
      <c r="C76" s="277"/>
      <c r="D76" s="246">
        <v>4569.91</v>
      </c>
      <c r="E76" s="247">
        <f>ROUND((D76*100)/(Total!C7*1000),2)</f>
        <v>6.16</v>
      </c>
      <c r="F76" s="18" t="s">
        <v>1246</v>
      </c>
    </row>
  </sheetData>
  <mergeCells count="43">
    <mergeCell ref="B76:C76"/>
    <mergeCell ref="G65:G66"/>
    <mergeCell ref="G67:G68"/>
    <mergeCell ref="B69:C69"/>
    <mergeCell ref="B70:C70"/>
    <mergeCell ref="B73:C73"/>
    <mergeCell ref="B74:C74"/>
    <mergeCell ref="A59:C59"/>
    <mergeCell ref="A60:C60"/>
    <mergeCell ref="A61:C61"/>
    <mergeCell ref="B62:C62"/>
    <mergeCell ref="A63:F63"/>
    <mergeCell ref="A64:A75"/>
    <mergeCell ref="B64:C64"/>
    <mergeCell ref="B75:C75"/>
    <mergeCell ref="A41:A46"/>
    <mergeCell ref="A47:C47"/>
    <mergeCell ref="A48:A54"/>
    <mergeCell ref="A55:C55"/>
    <mergeCell ref="A56:C56"/>
    <mergeCell ref="A57:A58"/>
    <mergeCell ref="B29:C29"/>
    <mergeCell ref="A30:F30"/>
    <mergeCell ref="A31:A37"/>
    <mergeCell ref="B38:C38"/>
    <mergeCell ref="A39:F39"/>
    <mergeCell ref="A40:C40"/>
    <mergeCell ref="C7:D7"/>
    <mergeCell ref="A8:F8"/>
    <mergeCell ref="A10:A15"/>
    <mergeCell ref="A16:A22"/>
    <mergeCell ref="A23:A28"/>
    <mergeCell ref="B25:B27"/>
    <mergeCell ref="C25:C27"/>
    <mergeCell ref="D25:D27"/>
    <mergeCell ref="E25:E27"/>
    <mergeCell ref="F25:F27"/>
    <mergeCell ref="A1:G1"/>
    <mergeCell ref="A2:G2"/>
    <mergeCell ref="A3:G3"/>
    <mergeCell ref="A4:G4"/>
    <mergeCell ref="A5:G5"/>
    <mergeCell ref="A6:G6"/>
  </mergeCells>
  <pageMargins left="0" right="0" top="0.64840000000000009" bottom="0.64840000000000009" header="0" footer="0"/>
  <pageSetup paperSize="0" scale="28" fitToWidth="0" fitToHeight="0" orientation="portrait" horizontalDpi="0" verticalDpi="0" copies="0"/>
  <headerFooter>
    <oddHeader>&amp;C&amp;10&amp;A</oddHeader>
    <oddFooter>&amp;C&amp;10Página &amp;P</oddFooter>
  </headerFooter>
  <colBreaks count="1" manualBreakCount="1">
    <brk id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By_Sector</vt:lpstr>
      <vt:lpstr>Infraestrutures</vt:lpstr>
      <vt:lpstr>LULUCF</vt:lpstr>
      <vt:lpstr>New_Projects</vt:lpstr>
      <vt:lpstr>Total</vt:lpstr>
      <vt:lpstr>ANEX_I</vt:lpstr>
      <vt:lpstr>New_Projects!_FilterDatabase</vt:lpstr>
      <vt:lpstr>Infraestrutures!Print_Area</vt:lpstr>
      <vt:lpstr>New_Projects!Print_Area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Afonso Teles</dc:creator>
  <dc:description/>
  <cp:lastModifiedBy>Afonso Teles</cp:lastModifiedBy>
  <cp:revision>44</cp:revision>
  <cp:lastPrinted>2021-03-12T08:29:40Z</cp:lastPrinted>
  <dcterms:created xsi:type="dcterms:W3CDTF">2020-12-16T20:48:25Z</dcterms:created>
  <dcterms:modified xsi:type="dcterms:W3CDTF">2021-03-25T23:42:48Z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